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" windowWidth="20736" windowHeight="11760" activeTab="0"/>
  </bookViews>
  <sheets>
    <sheet name="SERIE VITAL" sheetId="1" r:id="rId1"/>
  </sheets>
  <definedNames>
    <definedName name="_xlnm.Print_Titles" localSheetId="0">'SERIE VITAL'!$1:$10</definedName>
  </definedNames>
  <calcPr fullCalcOnLoad="1"/>
</workbook>
</file>

<file path=xl/sharedStrings.xml><?xml version="1.0" encoding="utf-8"?>
<sst xmlns="http://schemas.openxmlformats.org/spreadsheetml/2006/main" count="322" uniqueCount="44">
  <si>
    <t>GOBIERNOS</t>
  </si>
  <si>
    <t>MESES</t>
  </si>
  <si>
    <t>AÑOS</t>
  </si>
  <si>
    <t>Noviembre</t>
  </si>
  <si>
    <t>Julio</t>
  </si>
  <si>
    <t>Enero</t>
  </si>
  <si>
    <t>Marzo</t>
  </si>
  <si>
    <t>Agosto</t>
  </si>
  <si>
    <t>Junio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</si>
  <si>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</si>
  <si>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</si>
  <si>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</si>
  <si>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</si>
  <si>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</si>
  <si>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</si>
  <si>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</si>
  <si>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</si>
  <si>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</si>
  <si>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</si>
  <si>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</si>
  <si>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</si>
  <si>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</si>
  <si>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</si>
  <si>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>Julio*</t>
  </si>
  <si>
    <t xml:space="preserve">Septiembre </t>
  </si>
  <si>
    <t xml:space="preserve">Octubre  </t>
  </si>
  <si>
    <t xml:space="preserve">Noviembre  </t>
  </si>
  <si>
    <t>Lúcio Gutierrez B.</t>
  </si>
  <si>
    <t>Alfredo Palacio</t>
  </si>
  <si>
    <t>Rafael Correa</t>
  </si>
  <si>
    <t>Enero**</t>
  </si>
  <si>
    <t>Lenín Moreno</t>
  </si>
  <si>
    <t>CANASTA FAMILIAR VITAL</t>
  </si>
  <si>
    <t>BASE: Agosto de 1992 = 100</t>
  </si>
  <si>
    <t xml:space="preserve">Mayo   </t>
  </si>
  <si>
    <t xml:space="preserve">Junio   </t>
  </si>
  <si>
    <t xml:space="preserve">Agosto </t>
  </si>
  <si>
    <t xml:space="preserve">Diciembre   </t>
  </si>
  <si>
    <t>Enero***</t>
  </si>
  <si>
    <t xml:space="preserve">Julio   </t>
  </si>
  <si>
    <t>RECUPERACIÓN EN CONSUMO (costo-ingreso) (dólares)</t>
  </si>
  <si>
    <t>RECUPERACIÓN (porcentual)</t>
  </si>
  <si>
    <t>COSTO CANASTA VITAL (dólares)</t>
  </si>
  <si>
    <t>INGRESO FAMILIAR MENSUAL**** (dólares)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</si>
</sst>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6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163557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CEE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165" fontId="2" fillId="2" borderId="10" xfId="53" applyNumberFormat="1" applyFont="1" applyFill="1" applyBorder="1" applyAlignment="1">
      <alignment horizontal="center"/>
    </xf>
    <xf numFmtId="165" fontId="2" fillId="0" borderId="10" xfId="53" applyNumberFormat="1" applyFont="1" applyFill="1" applyBorder="1" applyAlignment="1">
      <alignment horizontal="center"/>
    </xf>
    <xf numFmtId="165" fontId="4" fillId="2" borderId="10" xfId="53" applyNumberFormat="1" applyFont="1" applyFill="1" applyBorder="1" applyAlignment="1">
      <alignment horizontal="center"/>
    </xf>
    <xf numFmtId="165" fontId="4" fillId="0" borderId="10" xfId="53" applyNumberFormat="1" applyFont="1" applyFill="1" applyBorder="1" applyAlignment="1">
      <alignment horizontal="center"/>
    </xf>
    <xf numFmtId="10" fontId="4" fillId="0" borderId="10" xfId="53" applyNumberFormat="1" applyFont="1" applyFill="1" applyBorder="1" applyAlignment="1">
      <alignment horizontal="center"/>
    </xf>
    <xf numFmtId="10" fontId="4" fillId="2" borderId="10" xfId="53" applyNumberFormat="1" applyFont="1" applyFill="1" applyBorder="1" applyAlignment="1">
      <alignment horizontal="center"/>
    </xf>
    <xf numFmtId="10" fontId="2" fillId="0" borderId="0" xfId="53" applyNumberFormat="1" applyFont="1" applyAlignment="1">
      <alignment/>
    </xf>
    <xf numFmtId="0" fontId="2" fillId="0" borderId="0" xfId="51" applyFont="1">
      <alignment/>
      <protection/>
    </xf>
    <xf numFmtId="0" fontId="3" fillId="0" borderId="0" xfId="51" applyFont="1" applyFill="1" applyBorder="1" applyAlignment="1">
      <alignment horizontal="center"/>
      <protection/>
    </xf>
    <xf numFmtId="1" fontId="3" fillId="0" borderId="0" xfId="51" applyNumberFormat="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0" fontId="3" fillId="2" borderId="11" xfId="51" applyFont="1" applyFill="1" applyBorder="1" applyAlignment="1">
      <alignment horizontal="center"/>
      <protection/>
    </xf>
    <xf numFmtId="0" fontId="3" fillId="2" borderId="12" xfId="51" applyFont="1" applyFill="1" applyBorder="1" applyAlignment="1">
      <alignment horizontal="center"/>
      <protection/>
    </xf>
    <xf numFmtId="1" fontId="3" fillId="2" borderId="12" xfId="51" applyNumberFormat="1" applyFont="1" applyFill="1" applyBorder="1" applyAlignment="1">
      <alignment horizontal="center"/>
      <protection/>
    </xf>
    <xf numFmtId="0" fontId="3" fillId="2" borderId="13" xfId="51" applyFont="1" applyFill="1" applyBorder="1" applyAlignment="1">
      <alignment horizontal="center"/>
      <protection/>
    </xf>
    <xf numFmtId="0" fontId="3" fillId="2" borderId="14" xfId="51" applyFont="1" applyFill="1" applyBorder="1">
      <alignment/>
      <protection/>
    </xf>
    <xf numFmtId="0" fontId="2" fillId="2" borderId="15" xfId="51" applyFont="1" applyFill="1" applyBorder="1">
      <alignment/>
      <protection/>
    </xf>
    <xf numFmtId="0" fontId="2" fillId="2" borderId="15" xfId="51" applyFont="1" applyFill="1" applyBorder="1" applyAlignment="1">
      <alignment horizontal="center"/>
      <protection/>
    </xf>
    <xf numFmtId="4" fontId="2" fillId="2" borderId="15" xfId="51" applyNumberFormat="1" applyFont="1" applyFill="1" applyBorder="1">
      <alignment/>
      <protection/>
    </xf>
    <xf numFmtId="0" fontId="3" fillId="0" borderId="14" xfId="51" applyFont="1" applyFill="1" applyBorder="1">
      <alignment/>
      <protection/>
    </xf>
    <xf numFmtId="0" fontId="2" fillId="0" borderId="15" xfId="51" applyFont="1" applyFill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4" fontId="2" fillId="0" borderId="15" xfId="51" applyNumberFormat="1" applyFont="1" applyFill="1" applyBorder="1">
      <alignment/>
      <protection/>
    </xf>
    <xf numFmtId="2" fontId="2" fillId="2" borderId="15" xfId="51" applyNumberFormat="1" applyFont="1" applyFill="1" applyBorder="1">
      <alignment/>
      <protection/>
    </xf>
    <xf numFmtId="2" fontId="2" fillId="0" borderId="15" xfId="51" applyNumberFormat="1" applyFont="1" applyFill="1" applyBorder="1">
      <alignment/>
      <protection/>
    </xf>
    <xf numFmtId="2" fontId="2" fillId="0" borderId="0" xfId="51" applyNumberFormat="1" applyFont="1">
      <alignment/>
      <protection/>
    </xf>
    <xf numFmtId="0" fontId="2" fillId="0" borderId="14" xfId="51" applyFont="1" applyFill="1" applyBorder="1">
      <alignment/>
      <protection/>
    </xf>
    <xf numFmtId="2" fontId="2" fillId="0" borderId="15" xfId="51" applyNumberFormat="1" applyFont="1" applyFill="1" applyBorder="1" applyAlignment="1">
      <alignment horizontal="right"/>
      <protection/>
    </xf>
    <xf numFmtId="164" fontId="2" fillId="0" borderId="0" xfId="51" applyNumberFormat="1" applyFont="1">
      <alignment/>
      <protection/>
    </xf>
    <xf numFmtId="0" fontId="2" fillId="0" borderId="0" xfId="51" applyFont="1" applyFill="1" applyBorder="1">
      <alignment/>
      <protection/>
    </xf>
    <xf numFmtId="2" fontId="2" fillId="2" borderId="15" xfId="51" applyNumberFormat="1" applyFont="1" applyFill="1" applyBorder="1" applyAlignment="1">
      <alignment horizontal="right"/>
      <protection/>
    </xf>
    <xf numFmtId="0" fontId="2" fillId="2" borderId="14" xfId="51" applyFont="1" applyFill="1" applyBorder="1">
      <alignment/>
      <protection/>
    </xf>
    <xf numFmtId="0" fontId="2" fillId="2" borderId="16" xfId="51" applyFont="1" applyFill="1" applyBorder="1">
      <alignment/>
      <protection/>
    </xf>
    <xf numFmtId="0" fontId="2" fillId="2" borderId="17" xfId="51" applyFont="1" applyFill="1" applyBorder="1">
      <alignment/>
      <protection/>
    </xf>
    <xf numFmtId="0" fontId="2" fillId="2" borderId="17" xfId="51" applyFont="1" applyFill="1" applyBorder="1" applyAlignment="1">
      <alignment horizontal="center"/>
      <protection/>
    </xf>
    <xf numFmtId="2" fontId="2" fillId="2" borderId="17" xfId="51" applyNumberFormat="1" applyFont="1" applyFill="1" applyBorder="1" applyAlignment="1">
      <alignment horizontal="right"/>
      <protection/>
    </xf>
    <xf numFmtId="10" fontId="4" fillId="2" borderId="18" xfId="53" applyNumberFormat="1" applyFont="1" applyFill="1" applyBorder="1" applyAlignment="1">
      <alignment horizontal="center"/>
    </xf>
    <xf numFmtId="0" fontId="2" fillId="0" borderId="0" xfId="51" applyFont="1" applyBorder="1">
      <alignment/>
      <protection/>
    </xf>
    <xf numFmtId="0" fontId="42" fillId="0" borderId="0" xfId="51" applyFont="1" applyAlignment="1">
      <alignment horizontal="left" vertical="center" readingOrder="1"/>
      <protection/>
    </xf>
    <xf numFmtId="0" fontId="43" fillId="33" borderId="19" xfId="51" applyFont="1" applyFill="1" applyBorder="1" applyAlignment="1">
      <alignment horizontal="center"/>
      <protection/>
    </xf>
    <xf numFmtId="0" fontId="43" fillId="33" borderId="20" xfId="51" applyFont="1" applyFill="1" applyBorder="1" applyAlignment="1">
      <alignment horizontal="center"/>
      <protection/>
    </xf>
    <xf numFmtId="0" fontId="43" fillId="33" borderId="21" xfId="51" applyFont="1" applyFill="1" applyBorder="1" applyAlignment="1">
      <alignment horizontal="center"/>
      <protection/>
    </xf>
    <xf numFmtId="0" fontId="44" fillId="33" borderId="22" xfId="51" applyFont="1" applyFill="1" applyBorder="1" applyAlignment="1">
      <alignment horizontal="center"/>
      <protection/>
    </xf>
    <xf numFmtId="0" fontId="44" fillId="33" borderId="15" xfId="51" applyFont="1" applyFill="1" applyBorder="1" applyAlignment="1">
      <alignment horizontal="center"/>
      <protection/>
    </xf>
    <xf numFmtId="0" fontId="44" fillId="33" borderId="23" xfId="51" applyFont="1" applyFill="1" applyBorder="1" applyAlignment="1">
      <alignment horizontal="center"/>
      <protection/>
    </xf>
    <xf numFmtId="49" fontId="45" fillId="34" borderId="11" xfId="0" applyNumberFormat="1" applyFont="1" applyFill="1" applyBorder="1" applyAlignment="1">
      <alignment horizontal="center" vertical="center" wrapText="1"/>
    </xf>
    <xf numFmtId="49" fontId="45" fillId="34" borderId="14" xfId="0" applyNumberFormat="1" applyFont="1" applyFill="1" applyBorder="1" applyAlignment="1">
      <alignment horizontal="center" vertical="center" wrapText="1"/>
    </xf>
    <xf numFmtId="49" fontId="45" fillId="34" borderId="16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45" fillId="34" borderId="15" xfId="0" applyNumberFormat="1" applyFont="1" applyFill="1" applyBorder="1" applyAlignment="1">
      <alignment horizontal="center" vertical="center" wrapText="1"/>
    </xf>
    <xf numFmtId="49" fontId="45" fillId="34" borderId="17" xfId="0" applyNumberFormat="1" applyFont="1" applyFill="1" applyBorder="1" applyAlignment="1">
      <alignment horizontal="center" vertical="center" wrapText="1"/>
    </xf>
    <xf numFmtId="49" fontId="45" fillId="34" borderId="13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3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316</xdr:row>
      <xdr:rowOff>0</xdr:rowOff>
    </xdr:from>
    <xdr:ext cx="621982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1739800"/>
          <a:ext cx="6219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</xdr:colOff>
      <xdr:row>316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51739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316</xdr:row>
      <xdr:rowOff>9525</xdr:rowOff>
    </xdr:from>
    <xdr:to>
      <xdr:col>6</xdr:col>
      <xdr:colOff>1028700</xdr:colOff>
      <xdr:row>322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51749325"/>
          <a:ext cx="6553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 Desde el mes de julio de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2000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se calcula el ingreso familiar con un hogar tipo de cuatro miembros con 1,60 perceptores de la Remuneración Básica unificada mínima.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  Canasta Familiar Vital, definida en enero de 2007.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**** El cálculo del Ingreso Familiar Mensual del hogar tipo no incluye los fondos de reserva mensualizados.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0</xdr:row>
      <xdr:rowOff>971550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77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0</xdr:rowOff>
    </xdr:from>
    <xdr:to>
      <xdr:col>29</xdr:col>
      <xdr:colOff>419100</xdr:colOff>
      <xdr:row>0</xdr:row>
      <xdr:rowOff>971550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0"/>
          <a:ext cx="11953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352425</xdr:colOff>
      <xdr:row>0</xdr:row>
      <xdr:rowOff>0</xdr:rowOff>
    </xdr:from>
    <xdr:to>
      <xdr:col>44</xdr:col>
      <xdr:colOff>638175</xdr:colOff>
      <xdr:row>0</xdr:row>
      <xdr:rowOff>971550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64875" y="0"/>
          <a:ext cx="11858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9"/>
  <sheetViews>
    <sheetView showGridLines="0" tabSelected="1" zoomScalePageLayoutView="0" workbookViewId="0" topLeftCell="A1">
      <pane ySplit="9" topLeftCell="A303" activePane="bottomLeft" state="frozen"/>
      <selection pane="topLeft" activeCell="A1" sqref="A1"/>
      <selection pane="bottomLeft" activeCell="I317" sqref="I317"/>
    </sheetView>
  </sheetViews>
  <sheetFormatPr defaultColWidth="11.421875" defaultRowHeight="12.75"/>
  <cols>
    <col min="1" max="1" width="20.140625" style="8" customWidth="1"/>
    <col min="2" max="4" width="11.57421875" style="8" customWidth="1"/>
    <col min="5" max="5" width="13.00390625" style="8" customWidth="1"/>
    <col min="6" max="6" width="15.28125" style="8" customWidth="1"/>
    <col min="7" max="7" width="15.7109375" style="8" customWidth="1"/>
    <col min="8" max="8" width="9.28125" style="8" customWidth="1"/>
    <col min="9" max="16384" width="11.57421875" style="8" customWidth="1"/>
  </cols>
  <sheetData>
    <row r="1" ht="84" customHeight="1"/>
    <row r="2" ht="6.75" customHeight="1" thickBot="1"/>
    <row r="3" spans="1:7" ht="20.25">
      <c r="A3" s="40" t="s">
        <v>32</v>
      </c>
      <c r="B3" s="41"/>
      <c r="C3" s="41"/>
      <c r="D3" s="41"/>
      <c r="E3" s="41"/>
      <c r="F3" s="41"/>
      <c r="G3" s="42"/>
    </row>
    <row r="4" spans="1:7" ht="13.5" thickBot="1">
      <c r="A4" s="43" t="s">
        <v>33</v>
      </c>
      <c r="B4" s="44"/>
      <c r="C4" s="44"/>
      <c r="D4" s="44"/>
      <c r="E4" s="44"/>
      <c r="F4" s="44"/>
      <c r="G4" s="45"/>
    </row>
    <row r="5" spans="1:7" ht="12.75">
      <c r="A5" s="46" t="s">
        <v>0</v>
      </c>
      <c r="B5" s="49" t="s">
        <v>1</v>
      </c>
      <c r="C5" s="49" t="s">
        <v>2</v>
      </c>
      <c r="D5" s="49" t="s">
        <v>42</v>
      </c>
      <c r="E5" s="49" t="s">
        <v>43</v>
      </c>
      <c r="F5" s="49" t="s">
        <v>40</v>
      </c>
      <c r="G5" s="52" t="s">
        <v>41</v>
      </c>
    </row>
    <row r="6" spans="1:7" ht="12.75">
      <c r="A6" s="47"/>
      <c r="B6" s="50"/>
      <c r="C6" s="50"/>
      <c r="D6" s="50"/>
      <c r="E6" s="50"/>
      <c r="F6" s="50"/>
      <c r="G6" s="53"/>
    </row>
    <row r="7" spans="1:7" ht="12.75">
      <c r="A7" s="47"/>
      <c r="B7" s="50"/>
      <c r="C7" s="50"/>
      <c r="D7" s="50"/>
      <c r="E7" s="50"/>
      <c r="F7" s="50"/>
      <c r="G7" s="53"/>
    </row>
    <row r="8" spans="1:7" ht="12.75">
      <c r="A8" s="47"/>
      <c r="B8" s="50"/>
      <c r="C8" s="50"/>
      <c r="D8" s="50"/>
      <c r="E8" s="50"/>
      <c r="F8" s="50"/>
      <c r="G8" s="53"/>
    </row>
    <row r="9" spans="1:7" ht="6.75" customHeight="1" thickBot="1">
      <c r="A9" s="48"/>
      <c r="B9" s="51"/>
      <c r="C9" s="51"/>
      <c r="D9" s="51"/>
      <c r="E9" s="51"/>
      <c r="F9" s="51"/>
      <c r="G9" s="54"/>
    </row>
    <row r="10" spans="1:8" ht="13.5" thickBot="1">
      <c r="A10" s="9"/>
      <c r="B10" s="9"/>
      <c r="C10" s="9"/>
      <c r="D10" s="10"/>
      <c r="E10" s="10"/>
      <c r="F10" s="9"/>
      <c r="G10" s="9"/>
      <c r="H10" s="11"/>
    </row>
    <row r="11" spans="1:8" ht="6.75" customHeight="1">
      <c r="A11" s="12"/>
      <c r="B11" s="13"/>
      <c r="C11" s="13"/>
      <c r="D11" s="14"/>
      <c r="E11" s="14"/>
      <c r="F11" s="13"/>
      <c r="G11" s="15"/>
      <c r="H11" s="11"/>
    </row>
    <row r="12" spans="1:7" ht="12" customHeight="1">
      <c r="A12" s="16" t="s">
        <v>18</v>
      </c>
      <c r="B12" s="17" t="s">
        <v>12</v>
      </c>
      <c r="C12" s="18">
        <v>1992</v>
      </c>
      <c r="D12" s="19">
        <f>207968.61/1587.72</f>
        <v>130.9856964704104</v>
      </c>
      <c r="E12" s="19">
        <f>200234.57/1587.72</f>
        <v>126.11453530849268</v>
      </c>
      <c r="F12" s="19">
        <f aca="true" t="shared" si="0" ref="F12:F75">+D12-E12</f>
        <v>4.871161161917726</v>
      </c>
      <c r="G12" s="1">
        <f aca="true" t="shared" si="1" ref="G12:G75">+F12/D12</f>
        <v>0.03718849686017525</v>
      </c>
    </row>
    <row r="13" spans="1:7" ht="12" customHeight="1">
      <c r="A13" s="16"/>
      <c r="B13" s="17" t="s">
        <v>5</v>
      </c>
      <c r="C13" s="18">
        <v>1993</v>
      </c>
      <c r="D13" s="19">
        <f>215069.54/2082.16</f>
        <v>103.2915530026511</v>
      </c>
      <c r="E13" s="19">
        <f aca="true" t="shared" si="2" ref="E13:E18">246598.34/2082.16</f>
        <v>118.43390517539478</v>
      </c>
      <c r="F13" s="19">
        <f t="shared" si="0"/>
        <v>-15.142352172743685</v>
      </c>
      <c r="G13" s="1">
        <f t="shared" si="1"/>
        <v>-0.14659816541198717</v>
      </c>
    </row>
    <row r="14" spans="1:7" ht="12" customHeight="1">
      <c r="A14" s="16"/>
      <c r="B14" s="17" t="s">
        <v>17</v>
      </c>
      <c r="C14" s="18">
        <v>1993</v>
      </c>
      <c r="D14" s="19">
        <f>220242.63/2068.7</f>
        <v>106.46426741431819</v>
      </c>
      <c r="E14" s="19">
        <f t="shared" si="2"/>
        <v>118.43390517539478</v>
      </c>
      <c r="F14" s="19">
        <f t="shared" si="0"/>
        <v>-11.969637761076598</v>
      </c>
      <c r="G14" s="1">
        <f t="shared" si="1"/>
        <v>-0.11242868665498207</v>
      </c>
    </row>
    <row r="15" spans="1:7" ht="12" customHeight="1">
      <c r="A15" s="16"/>
      <c r="B15" s="17" t="s">
        <v>6</v>
      </c>
      <c r="C15" s="18">
        <v>1993</v>
      </c>
      <c r="D15" s="19">
        <f>225131.64/2121.45</f>
        <v>106.12158665063991</v>
      </c>
      <c r="E15" s="19">
        <f t="shared" si="2"/>
        <v>118.43390517539478</v>
      </c>
      <c r="F15" s="19">
        <f t="shared" si="0"/>
        <v>-12.312318524754872</v>
      </c>
      <c r="G15" s="1">
        <f t="shared" si="1"/>
        <v>-0.11602086732163111</v>
      </c>
    </row>
    <row r="16" spans="1:7" ht="12" customHeight="1">
      <c r="A16" s="16"/>
      <c r="B16" s="17" t="s">
        <v>16</v>
      </c>
      <c r="C16" s="18">
        <v>1993</v>
      </c>
      <c r="D16" s="19">
        <f>231761.67/2161.27</f>
        <v>107.2340198124251</v>
      </c>
      <c r="E16" s="19">
        <f t="shared" si="2"/>
        <v>118.43390517539478</v>
      </c>
      <c r="F16" s="19">
        <f t="shared" si="0"/>
        <v>-11.199885362969681</v>
      </c>
      <c r="G16" s="1">
        <f t="shared" si="1"/>
        <v>-0.10444339755760942</v>
      </c>
    </row>
    <row r="17" spans="1:7" ht="12" customHeight="1">
      <c r="A17" s="16"/>
      <c r="B17" s="17" t="s">
        <v>10</v>
      </c>
      <c r="C17" s="18">
        <v>1993</v>
      </c>
      <c r="D17" s="19">
        <f>237208.88/2170.38</f>
        <v>109.2937089357624</v>
      </c>
      <c r="E17" s="19">
        <f t="shared" si="2"/>
        <v>118.43390517539478</v>
      </c>
      <c r="F17" s="19">
        <f t="shared" si="0"/>
        <v>-9.140196239632388</v>
      </c>
      <c r="G17" s="1">
        <f t="shared" si="1"/>
        <v>-0.08362966476876137</v>
      </c>
    </row>
    <row r="18" spans="1:7" ht="12" customHeight="1">
      <c r="A18" s="16"/>
      <c r="B18" s="17" t="s">
        <v>8</v>
      </c>
      <c r="C18" s="18">
        <v>1993</v>
      </c>
      <c r="D18" s="19">
        <f>245370.04/2180.99</f>
        <v>112.50397296640519</v>
      </c>
      <c r="E18" s="19">
        <f t="shared" si="2"/>
        <v>118.43390517539478</v>
      </c>
      <c r="F18" s="19">
        <f t="shared" si="0"/>
        <v>-5.929932208989598</v>
      </c>
      <c r="G18" s="1">
        <f t="shared" si="1"/>
        <v>-0.05270864710493678</v>
      </c>
    </row>
    <row r="19" spans="1:7" ht="12" customHeight="1">
      <c r="A19" s="16"/>
      <c r="B19" s="17" t="s">
        <v>4</v>
      </c>
      <c r="C19" s="18">
        <v>1993</v>
      </c>
      <c r="D19" s="19">
        <f>250509.35/2199.46</f>
        <v>113.89584261591482</v>
      </c>
      <c r="E19" s="19">
        <f>281213.34/2199.46</f>
        <v>127.85562819964902</v>
      </c>
      <c r="F19" s="19">
        <f t="shared" si="0"/>
        <v>-13.959785583734202</v>
      </c>
      <c r="G19" s="1">
        <f t="shared" si="1"/>
        <v>-0.12256624353542105</v>
      </c>
    </row>
    <row r="20" spans="1:7" ht="12" customHeight="1">
      <c r="A20" s="16"/>
      <c r="B20" s="17" t="s">
        <v>7</v>
      </c>
      <c r="C20" s="18">
        <v>1993</v>
      </c>
      <c r="D20" s="19">
        <f>254060.91/2243.71</f>
        <v>113.23250776615517</v>
      </c>
      <c r="E20" s="19">
        <f>281213.34/2199.46</f>
        <v>127.85562819964902</v>
      </c>
      <c r="F20" s="19">
        <f t="shared" si="0"/>
        <v>-14.623120433493852</v>
      </c>
      <c r="G20" s="1">
        <f t="shared" si="1"/>
        <v>-0.12914242316078647</v>
      </c>
    </row>
    <row r="21" spans="1:7" ht="12" customHeight="1">
      <c r="A21" s="16"/>
      <c r="B21" s="17" t="s">
        <v>9</v>
      </c>
      <c r="C21" s="18">
        <v>1993</v>
      </c>
      <c r="D21" s="19">
        <f>260889.13/2262.92</f>
        <v>115.28871104590529</v>
      </c>
      <c r="E21" s="19">
        <f>282823.34/2262.92</f>
        <v>124.98159015784915</v>
      </c>
      <c r="F21" s="19">
        <f t="shared" si="0"/>
        <v>-9.692879111943867</v>
      </c>
      <c r="G21" s="1">
        <f t="shared" si="1"/>
        <v>-0.08407483286099354</v>
      </c>
    </row>
    <row r="22" spans="1:7" ht="12" customHeight="1">
      <c r="A22" s="16"/>
      <c r="B22" s="17" t="s">
        <v>11</v>
      </c>
      <c r="C22" s="18">
        <v>1993</v>
      </c>
      <c r="D22" s="19">
        <f>271181.06/2279.27</f>
        <v>118.97715496628307</v>
      </c>
      <c r="E22" s="19">
        <f>287653.34/2279.27</f>
        <v>126.2041530841015</v>
      </c>
      <c r="F22" s="19">
        <f t="shared" si="0"/>
        <v>-7.2269981178184395</v>
      </c>
      <c r="G22" s="1">
        <f t="shared" si="1"/>
        <v>-0.060742737711844755</v>
      </c>
    </row>
    <row r="23" spans="1:7" ht="12" customHeight="1">
      <c r="A23" s="16"/>
      <c r="B23" s="17" t="s">
        <v>3</v>
      </c>
      <c r="C23" s="18">
        <v>1993</v>
      </c>
      <c r="D23" s="19">
        <f>275275.76/1977.85</f>
        <v>139.179290643881</v>
      </c>
      <c r="E23" s="19">
        <f>287653.34/2279.27</f>
        <v>126.2041530841015</v>
      </c>
      <c r="F23" s="19">
        <f t="shared" si="0"/>
        <v>12.975137559779483</v>
      </c>
      <c r="G23" s="1">
        <f t="shared" si="1"/>
        <v>0.09322606473817327</v>
      </c>
    </row>
    <row r="24" spans="1:7" ht="12" customHeight="1">
      <c r="A24" s="16"/>
      <c r="B24" s="17" t="s">
        <v>12</v>
      </c>
      <c r="C24" s="18">
        <v>1993</v>
      </c>
      <c r="D24" s="19">
        <f>276856.59/2014.7</f>
        <v>137.41827071027944</v>
      </c>
      <c r="E24" s="19">
        <f>287653.34/2279.27</f>
        <v>126.2041530841015</v>
      </c>
      <c r="F24" s="19">
        <f t="shared" si="0"/>
        <v>11.214117626177938</v>
      </c>
      <c r="G24" s="1">
        <f t="shared" si="1"/>
        <v>0.08160572512093967</v>
      </c>
    </row>
    <row r="25" spans="1:7" ht="12" customHeight="1">
      <c r="A25" s="16"/>
      <c r="B25" s="17" t="s">
        <v>13</v>
      </c>
      <c r="C25" s="18">
        <v>1994</v>
      </c>
      <c r="D25" s="19">
        <f>287251.46/2082.16</f>
        <v>137.9583989703001</v>
      </c>
      <c r="E25" s="19">
        <f aca="true" t="shared" si="3" ref="E25:E30">339173.34/2082.16</f>
        <v>162.89494563338076</v>
      </c>
      <c r="F25" s="19">
        <f t="shared" si="0"/>
        <v>-24.936546663080662</v>
      </c>
      <c r="G25" s="1">
        <f t="shared" si="1"/>
        <v>-0.18075410304267914</v>
      </c>
    </row>
    <row r="26" spans="1:7" ht="12" customHeight="1">
      <c r="A26" s="16"/>
      <c r="B26" s="17" t="s">
        <v>14</v>
      </c>
      <c r="C26" s="18">
        <v>1994</v>
      </c>
      <c r="D26" s="19">
        <f>295223.46/2068.7</f>
        <v>142.70965340552038</v>
      </c>
      <c r="E26" s="19">
        <f t="shared" si="3"/>
        <v>162.89494563338076</v>
      </c>
      <c r="F26" s="19">
        <f t="shared" si="0"/>
        <v>-20.185292227860373</v>
      </c>
      <c r="G26" s="1">
        <f t="shared" si="1"/>
        <v>-0.14144307512612564</v>
      </c>
    </row>
    <row r="27" spans="1:7" ht="12" customHeight="1">
      <c r="A27" s="16"/>
      <c r="B27" s="17" t="s">
        <v>15</v>
      </c>
      <c r="C27" s="18">
        <v>1994</v>
      </c>
      <c r="D27" s="19">
        <f>303882.54/2121.45</f>
        <v>143.24284805203988</v>
      </c>
      <c r="E27" s="19">
        <f t="shared" si="3"/>
        <v>162.89494563338076</v>
      </c>
      <c r="F27" s="19">
        <f t="shared" si="0"/>
        <v>-19.652097581340882</v>
      </c>
      <c r="G27" s="1">
        <f t="shared" si="1"/>
        <v>-0.13719426727819117</v>
      </c>
    </row>
    <row r="28" spans="1:7" ht="12" customHeight="1">
      <c r="A28" s="16"/>
      <c r="B28" s="17" t="s">
        <v>16</v>
      </c>
      <c r="C28" s="18">
        <v>1994</v>
      </c>
      <c r="D28" s="19">
        <f>314116.85/2161.27</f>
        <v>145.33901363550135</v>
      </c>
      <c r="E28" s="19">
        <f t="shared" si="3"/>
        <v>162.89494563338076</v>
      </c>
      <c r="F28" s="19">
        <f t="shared" si="0"/>
        <v>-17.555931997879412</v>
      </c>
      <c r="G28" s="1">
        <f t="shared" si="1"/>
        <v>-0.12079297608217082</v>
      </c>
    </row>
    <row r="29" spans="1:7" ht="12" customHeight="1">
      <c r="A29" s="16"/>
      <c r="B29" s="17" t="s">
        <v>10</v>
      </c>
      <c r="C29" s="18">
        <v>1994</v>
      </c>
      <c r="D29" s="19">
        <f>319028.81/2170.38</f>
        <v>146.99214423280716</v>
      </c>
      <c r="E29" s="19">
        <f t="shared" si="3"/>
        <v>162.89494563338076</v>
      </c>
      <c r="F29" s="19">
        <f t="shared" si="0"/>
        <v>-15.902801400573594</v>
      </c>
      <c r="G29" s="1">
        <f t="shared" si="1"/>
        <v>-0.10818810408933574</v>
      </c>
    </row>
    <row r="30" spans="1:7" ht="12" customHeight="1">
      <c r="A30" s="16"/>
      <c r="B30" s="17" t="s">
        <v>8</v>
      </c>
      <c r="C30" s="18">
        <v>1994</v>
      </c>
      <c r="D30" s="19">
        <f>324996.82/2180.99</f>
        <v>149.01343885116393</v>
      </c>
      <c r="E30" s="19">
        <f t="shared" si="3"/>
        <v>162.89494563338076</v>
      </c>
      <c r="F30" s="19">
        <f t="shared" si="0"/>
        <v>-13.881506782216832</v>
      </c>
      <c r="G30" s="1">
        <f t="shared" si="1"/>
        <v>-0.0931560729638742</v>
      </c>
    </row>
    <row r="31" spans="1:7" ht="12" customHeight="1">
      <c r="A31" s="16"/>
      <c r="B31" s="17" t="s">
        <v>4</v>
      </c>
      <c r="C31" s="18">
        <v>1994</v>
      </c>
      <c r="D31" s="19">
        <f>330405.33/2199.46</f>
        <v>150.2211133641894</v>
      </c>
      <c r="E31" s="19">
        <f aca="true" t="shared" si="4" ref="E31:E36">431480/2199.46</f>
        <v>196.17542487701527</v>
      </c>
      <c r="F31" s="19">
        <f t="shared" si="0"/>
        <v>-45.95431151282588</v>
      </c>
      <c r="G31" s="1">
        <f t="shared" si="1"/>
        <v>-0.30591113648196905</v>
      </c>
    </row>
    <row r="32" spans="1:7" ht="12" customHeight="1">
      <c r="A32" s="16"/>
      <c r="B32" s="17" t="s">
        <v>7</v>
      </c>
      <c r="C32" s="18">
        <v>1994</v>
      </c>
      <c r="D32" s="19">
        <f>335226.9/2243.71</f>
        <v>149.4074100485357</v>
      </c>
      <c r="E32" s="19">
        <f t="shared" si="4"/>
        <v>196.17542487701527</v>
      </c>
      <c r="F32" s="19">
        <f t="shared" si="0"/>
        <v>-46.76801482847958</v>
      </c>
      <c r="G32" s="1">
        <f t="shared" si="1"/>
        <v>-0.3130233956487618</v>
      </c>
    </row>
    <row r="33" spans="1:7" ht="12" customHeight="1">
      <c r="A33" s="16"/>
      <c r="B33" s="17" t="s">
        <v>9</v>
      </c>
      <c r="C33" s="18">
        <v>1994</v>
      </c>
      <c r="D33" s="19">
        <f>341249.29/2260.88</f>
        <v>150.9364893315877</v>
      </c>
      <c r="E33" s="19">
        <f t="shared" si="4"/>
        <v>196.17542487701527</v>
      </c>
      <c r="F33" s="19">
        <f t="shared" si="0"/>
        <v>-45.23893554542758</v>
      </c>
      <c r="G33" s="1">
        <f t="shared" si="1"/>
        <v>-0.29972166270571965</v>
      </c>
    </row>
    <row r="34" spans="1:7" ht="12" customHeight="1">
      <c r="A34" s="16"/>
      <c r="B34" s="17" t="s">
        <v>11</v>
      </c>
      <c r="C34" s="18">
        <v>1994</v>
      </c>
      <c r="D34" s="19">
        <f>347395.38/2279.25</f>
        <v>152.4165317538664</v>
      </c>
      <c r="E34" s="19">
        <f t="shared" si="4"/>
        <v>196.17542487701527</v>
      </c>
      <c r="F34" s="19">
        <f t="shared" si="0"/>
        <v>-43.75889312314888</v>
      </c>
      <c r="G34" s="1">
        <f t="shared" si="1"/>
        <v>-0.28710070108283275</v>
      </c>
    </row>
    <row r="35" spans="1:7" ht="12" customHeight="1">
      <c r="A35" s="16"/>
      <c r="B35" s="17" t="s">
        <v>3</v>
      </c>
      <c r="C35" s="18">
        <v>1994</v>
      </c>
      <c r="D35" s="19">
        <f>353051.84/2303.73</f>
        <v>153.25226480533743</v>
      </c>
      <c r="E35" s="19">
        <f t="shared" si="4"/>
        <v>196.17542487701527</v>
      </c>
      <c r="F35" s="19">
        <f t="shared" si="0"/>
        <v>-42.92316007167784</v>
      </c>
      <c r="G35" s="1">
        <f t="shared" si="1"/>
        <v>-0.2800817340363568</v>
      </c>
    </row>
    <row r="36" spans="1:7" ht="12.75">
      <c r="A36" s="16"/>
      <c r="B36" s="17" t="s">
        <v>12</v>
      </c>
      <c r="C36" s="18">
        <v>1994</v>
      </c>
      <c r="D36" s="19">
        <f>359985.49/2299.28</f>
        <v>156.56444191225077</v>
      </c>
      <c r="E36" s="19">
        <f t="shared" si="4"/>
        <v>196.17542487701527</v>
      </c>
      <c r="F36" s="19">
        <f t="shared" si="0"/>
        <v>-39.6109829647645</v>
      </c>
      <c r="G36" s="1">
        <f t="shared" si="1"/>
        <v>-0.2530011443272998</v>
      </c>
    </row>
    <row r="37" spans="1:7" ht="12.75">
      <c r="A37" s="16"/>
      <c r="B37" s="17" t="s">
        <v>13</v>
      </c>
      <c r="C37" s="18">
        <v>1995</v>
      </c>
      <c r="D37" s="19">
        <f>377226.17/2348.91</f>
        <v>160.59626379895357</v>
      </c>
      <c r="E37" s="19">
        <f aca="true" t="shared" si="5" ref="E37:E42">533580.84/2348.91</f>
        <v>227.16104065289858</v>
      </c>
      <c r="F37" s="19">
        <f t="shared" si="0"/>
        <v>-66.564776853945</v>
      </c>
      <c r="G37" s="1">
        <f t="shared" si="1"/>
        <v>-0.41448521453323334</v>
      </c>
    </row>
    <row r="38" spans="1:7" ht="12.75">
      <c r="A38" s="16"/>
      <c r="B38" s="17" t="s">
        <v>14</v>
      </c>
      <c r="C38" s="18">
        <v>1995</v>
      </c>
      <c r="D38" s="19">
        <f>382600.51/2390.87</f>
        <v>160.02564338504394</v>
      </c>
      <c r="E38" s="19">
        <f t="shared" si="5"/>
        <v>227.16104065289858</v>
      </c>
      <c r="F38" s="19">
        <f t="shared" si="0"/>
        <v>-67.13539726785464</v>
      </c>
      <c r="G38" s="1">
        <f t="shared" si="1"/>
        <v>-0.4195289945269431</v>
      </c>
    </row>
    <row r="39" spans="1:7" ht="12.75">
      <c r="A39" s="16"/>
      <c r="B39" s="17" t="s">
        <v>15</v>
      </c>
      <c r="C39" s="18">
        <v>1995</v>
      </c>
      <c r="D39" s="19">
        <f>390324.09/2408.71</f>
        <v>162.04694213915334</v>
      </c>
      <c r="E39" s="19">
        <f t="shared" si="5"/>
        <v>227.16104065289858</v>
      </c>
      <c r="F39" s="19">
        <f t="shared" si="0"/>
        <v>-65.11409851374523</v>
      </c>
      <c r="G39" s="1">
        <f t="shared" si="1"/>
        <v>-0.40182244511488713</v>
      </c>
    </row>
    <row r="40" spans="1:7" ht="12.75">
      <c r="A40" s="16"/>
      <c r="B40" s="17" t="s">
        <v>16</v>
      </c>
      <c r="C40" s="18">
        <v>1995</v>
      </c>
      <c r="D40" s="19">
        <f>398637.99/2433.48</f>
        <v>163.81395778884558</v>
      </c>
      <c r="E40" s="19">
        <f t="shared" si="5"/>
        <v>227.16104065289858</v>
      </c>
      <c r="F40" s="19">
        <f t="shared" si="0"/>
        <v>-63.34708286405299</v>
      </c>
      <c r="G40" s="1">
        <f t="shared" si="1"/>
        <v>-0.3867013758724192</v>
      </c>
    </row>
    <row r="41" spans="1:7" ht="12.75">
      <c r="A41" s="16"/>
      <c r="B41" s="17" t="s">
        <v>10</v>
      </c>
      <c r="C41" s="18">
        <v>1995</v>
      </c>
      <c r="D41" s="19">
        <f>404694.93/2458.45</f>
        <v>164.61385425776405</v>
      </c>
      <c r="E41" s="19">
        <f t="shared" si="5"/>
        <v>227.16104065289858</v>
      </c>
      <c r="F41" s="19">
        <f t="shared" si="0"/>
        <v>-62.54718639513453</v>
      </c>
      <c r="G41" s="1">
        <f t="shared" si="1"/>
        <v>-0.37996307587327194</v>
      </c>
    </row>
    <row r="42" spans="1:7" ht="12.75">
      <c r="A42" s="16"/>
      <c r="B42" s="17" t="s">
        <v>8</v>
      </c>
      <c r="C42" s="18">
        <v>1995</v>
      </c>
      <c r="D42" s="19">
        <f>409976.78/2532.87</f>
        <v>161.8625432809422</v>
      </c>
      <c r="E42" s="19">
        <f t="shared" si="5"/>
        <v>227.16104065289858</v>
      </c>
      <c r="F42" s="19">
        <f t="shared" si="0"/>
        <v>-65.29849737195639</v>
      </c>
      <c r="G42" s="1">
        <f t="shared" si="1"/>
        <v>-0.403419444970779</v>
      </c>
    </row>
    <row r="43" spans="1:7" ht="12.75">
      <c r="A43" s="16"/>
      <c r="B43" s="17" t="s">
        <v>4</v>
      </c>
      <c r="C43" s="18">
        <v>1995</v>
      </c>
      <c r="D43" s="19">
        <f>414429.5/2575.35</f>
        <v>160.92162230376454</v>
      </c>
      <c r="E43" s="19">
        <f aca="true" t="shared" si="6" ref="E43:E48">571952.5/2575.35</f>
        <v>222.08728910633508</v>
      </c>
      <c r="F43" s="19">
        <f t="shared" si="0"/>
        <v>-61.16566680257054</v>
      </c>
      <c r="G43" s="1">
        <f t="shared" si="1"/>
        <v>-0.38009601150497263</v>
      </c>
    </row>
    <row r="44" spans="1:7" ht="12.75">
      <c r="A44" s="16"/>
      <c r="B44" s="17" t="s">
        <v>7</v>
      </c>
      <c r="C44" s="18">
        <v>1995</v>
      </c>
      <c r="D44" s="19">
        <f>419046.77/2594.51</f>
        <v>161.51287526353724</v>
      </c>
      <c r="E44" s="19">
        <f t="shared" si="6"/>
        <v>222.08728910633508</v>
      </c>
      <c r="F44" s="19">
        <f t="shared" si="0"/>
        <v>-60.57441384279784</v>
      </c>
      <c r="G44" s="1">
        <f t="shared" si="1"/>
        <v>-0.3750438703042083</v>
      </c>
    </row>
    <row r="45" spans="1:7" ht="12.75">
      <c r="A45" s="16"/>
      <c r="B45" s="17" t="s">
        <v>9</v>
      </c>
      <c r="C45" s="18">
        <v>1995</v>
      </c>
      <c r="D45" s="19">
        <f>433794.73/2632.58</f>
        <v>164.77931534844146</v>
      </c>
      <c r="E45" s="19">
        <f t="shared" si="6"/>
        <v>222.08728910633508</v>
      </c>
      <c r="F45" s="19">
        <f t="shared" si="0"/>
        <v>-57.30797375789362</v>
      </c>
      <c r="G45" s="1">
        <f t="shared" si="1"/>
        <v>-0.3477862111316004</v>
      </c>
    </row>
    <row r="46" spans="1:7" ht="12.75">
      <c r="A46" s="16"/>
      <c r="B46" s="17" t="s">
        <v>11</v>
      </c>
      <c r="C46" s="18">
        <v>1995</v>
      </c>
      <c r="D46" s="19">
        <f>442726.61/2680.74</f>
        <v>165.15089490215388</v>
      </c>
      <c r="E46" s="19">
        <f t="shared" si="6"/>
        <v>222.08728910633508</v>
      </c>
      <c r="F46" s="19">
        <f t="shared" si="0"/>
        <v>-56.9363942041812</v>
      </c>
      <c r="G46" s="1">
        <f t="shared" si="1"/>
        <v>-0.3447537734380066</v>
      </c>
    </row>
    <row r="47" spans="1:7" ht="12.75">
      <c r="A47" s="16"/>
      <c r="B47" s="17" t="s">
        <v>3</v>
      </c>
      <c r="C47" s="18">
        <v>1995</v>
      </c>
      <c r="D47" s="19">
        <f>449527/2817.67</f>
        <v>159.5385549052941</v>
      </c>
      <c r="E47" s="19">
        <f t="shared" si="6"/>
        <v>222.08728910633508</v>
      </c>
      <c r="F47" s="19">
        <f t="shared" si="0"/>
        <v>-62.548734201040986</v>
      </c>
      <c r="G47" s="1">
        <f t="shared" si="1"/>
        <v>-0.3920603031547541</v>
      </c>
    </row>
    <row r="48" spans="1:7" ht="12.75">
      <c r="A48" s="16"/>
      <c r="B48" s="17" t="s">
        <v>12</v>
      </c>
      <c r="C48" s="18">
        <v>1995</v>
      </c>
      <c r="D48" s="19">
        <f>456963/2917.87</f>
        <v>156.6084164133426</v>
      </c>
      <c r="E48" s="19">
        <f t="shared" si="6"/>
        <v>222.08728910633508</v>
      </c>
      <c r="F48" s="19">
        <f t="shared" si="0"/>
        <v>-65.47887269299247</v>
      </c>
      <c r="G48" s="1">
        <f t="shared" si="1"/>
        <v>-0.41810570716819945</v>
      </c>
    </row>
    <row r="49" spans="1:7" ht="12.75">
      <c r="A49" s="16"/>
      <c r="B49" s="17" t="s">
        <v>13</v>
      </c>
      <c r="C49" s="18">
        <v>1996</v>
      </c>
      <c r="D49" s="19">
        <f>468532/2923.55</f>
        <v>160.261326127482</v>
      </c>
      <c r="E49" s="19">
        <f aca="true" t="shared" si="7" ref="E49:E54">730538/2923.55</f>
        <v>249.8804535581741</v>
      </c>
      <c r="F49" s="19">
        <f t="shared" si="0"/>
        <v>-89.61912743069212</v>
      </c>
      <c r="G49" s="1">
        <f t="shared" si="1"/>
        <v>-0.5592062014974429</v>
      </c>
    </row>
    <row r="50" spans="1:7" ht="12.75">
      <c r="A50" s="16"/>
      <c r="B50" s="17" t="s">
        <v>14</v>
      </c>
      <c r="C50" s="18">
        <v>1996</v>
      </c>
      <c r="D50" s="19">
        <f>484249/2951.21</f>
        <v>164.0849007695149</v>
      </c>
      <c r="E50" s="19">
        <f t="shared" si="7"/>
        <v>249.8804535581741</v>
      </c>
      <c r="F50" s="19">
        <f t="shared" si="0"/>
        <v>-85.79555278865922</v>
      </c>
      <c r="G50" s="1">
        <f t="shared" si="1"/>
        <v>-0.522872929722971</v>
      </c>
    </row>
    <row r="51" spans="1:7" ht="12.75">
      <c r="A51" s="16"/>
      <c r="B51" s="17" t="s">
        <v>15</v>
      </c>
      <c r="C51" s="18">
        <v>1996</v>
      </c>
      <c r="D51" s="19">
        <f>497703/3023.72</f>
        <v>164.59956609738998</v>
      </c>
      <c r="E51" s="19">
        <f t="shared" si="7"/>
        <v>249.8804535581741</v>
      </c>
      <c r="F51" s="19">
        <f t="shared" si="0"/>
        <v>-85.28088746078413</v>
      </c>
      <c r="G51" s="1">
        <f t="shared" si="1"/>
        <v>-0.5181112531628745</v>
      </c>
    </row>
    <row r="52" spans="1:7" ht="12.75">
      <c r="A52" s="16"/>
      <c r="B52" s="17" t="s">
        <v>16</v>
      </c>
      <c r="C52" s="18">
        <v>1996</v>
      </c>
      <c r="D52" s="19">
        <f>509514/3072.53</f>
        <v>165.82881208645642</v>
      </c>
      <c r="E52" s="19">
        <f t="shared" si="7"/>
        <v>249.8804535581741</v>
      </c>
      <c r="F52" s="19">
        <f t="shared" si="0"/>
        <v>-84.05164147171769</v>
      </c>
      <c r="G52" s="1">
        <f t="shared" si="1"/>
        <v>-0.5068578880484084</v>
      </c>
    </row>
    <row r="53" spans="1:7" ht="12.75">
      <c r="A53" s="16"/>
      <c r="B53" s="17" t="s">
        <v>10</v>
      </c>
      <c r="C53" s="18">
        <v>1996</v>
      </c>
      <c r="D53" s="19">
        <f>511173/3117.55</f>
        <v>163.9662555532389</v>
      </c>
      <c r="E53" s="19">
        <f t="shared" si="7"/>
        <v>249.8804535581741</v>
      </c>
      <c r="F53" s="19">
        <f t="shared" si="0"/>
        <v>-85.9141980049352</v>
      </c>
      <c r="G53" s="1">
        <f t="shared" si="1"/>
        <v>-0.523974873458273</v>
      </c>
    </row>
    <row r="54" spans="1:7" ht="12.75">
      <c r="A54" s="16"/>
      <c r="B54" s="17" t="s">
        <v>8</v>
      </c>
      <c r="C54" s="18">
        <v>1996</v>
      </c>
      <c r="D54" s="19">
        <f>519219/3138.82</f>
        <v>165.41853307931004</v>
      </c>
      <c r="E54" s="19">
        <f t="shared" si="7"/>
        <v>249.8804535581741</v>
      </c>
      <c r="F54" s="19">
        <f t="shared" si="0"/>
        <v>-84.46192047886407</v>
      </c>
      <c r="G54" s="1">
        <f t="shared" si="1"/>
        <v>-0.5105952695056771</v>
      </c>
    </row>
    <row r="55" spans="1:7" ht="12.75">
      <c r="A55" s="16"/>
      <c r="B55" s="17" t="s">
        <v>4</v>
      </c>
      <c r="C55" s="18">
        <v>1996</v>
      </c>
      <c r="D55" s="19">
        <f>530254/3178.02</f>
        <v>166.8504288833928</v>
      </c>
      <c r="E55" s="19">
        <f aca="true" t="shared" si="8" ref="E55:E60">827138/3178.02</f>
        <v>260.26834318223297</v>
      </c>
      <c r="F55" s="19">
        <f t="shared" si="0"/>
        <v>-93.41791429884017</v>
      </c>
      <c r="G55" s="1">
        <f t="shared" si="1"/>
        <v>-0.5598901658450479</v>
      </c>
    </row>
    <row r="56" spans="1:7" ht="12.75">
      <c r="A56" s="20" t="s">
        <v>19</v>
      </c>
      <c r="B56" s="21" t="s">
        <v>7</v>
      </c>
      <c r="C56" s="22">
        <v>1996</v>
      </c>
      <c r="D56" s="23">
        <f>542387/3272.41</f>
        <v>165.74542920966505</v>
      </c>
      <c r="E56" s="23">
        <f t="shared" si="8"/>
        <v>260.26834318223297</v>
      </c>
      <c r="F56" s="23">
        <f t="shared" si="0"/>
        <v>-94.52291397256792</v>
      </c>
      <c r="G56" s="2">
        <f t="shared" si="1"/>
        <v>-0.5702897173290861</v>
      </c>
    </row>
    <row r="57" spans="1:7" ht="12.75">
      <c r="A57" s="20"/>
      <c r="B57" s="21" t="s">
        <v>9</v>
      </c>
      <c r="C57" s="22">
        <v>1996</v>
      </c>
      <c r="D57" s="23">
        <f>555064/3296.72</f>
        <v>168.36856026596132</v>
      </c>
      <c r="E57" s="23">
        <f t="shared" si="8"/>
        <v>260.26834318223297</v>
      </c>
      <c r="F57" s="23">
        <f t="shared" si="0"/>
        <v>-91.89978291627165</v>
      </c>
      <c r="G57" s="2">
        <f t="shared" si="1"/>
        <v>-0.5458250802353081</v>
      </c>
    </row>
    <row r="58" spans="1:7" ht="12.75">
      <c r="A58" s="20"/>
      <c r="B58" s="21" t="s">
        <v>11</v>
      </c>
      <c r="C58" s="22">
        <v>1996</v>
      </c>
      <c r="D58" s="23">
        <f>570760/3323.8</f>
        <v>171.71911667368673</v>
      </c>
      <c r="E58" s="23">
        <f t="shared" si="8"/>
        <v>260.26834318223297</v>
      </c>
      <c r="F58" s="23">
        <f t="shared" si="0"/>
        <v>-88.54922650854624</v>
      </c>
      <c r="G58" s="2">
        <f t="shared" si="1"/>
        <v>-0.5156631842965625</v>
      </c>
    </row>
    <row r="59" spans="1:7" ht="12.75">
      <c r="A59" s="20"/>
      <c r="B59" s="21" t="s">
        <v>3</v>
      </c>
      <c r="C59" s="22">
        <v>1996</v>
      </c>
      <c r="D59" s="23">
        <f>579442/3405.56</f>
        <v>170.14587909183805</v>
      </c>
      <c r="E59" s="23">
        <f t="shared" si="8"/>
        <v>260.26834318223297</v>
      </c>
      <c r="F59" s="23">
        <f t="shared" si="0"/>
        <v>-90.12246409039491</v>
      </c>
      <c r="G59" s="2">
        <f t="shared" si="1"/>
        <v>-0.5296776188258451</v>
      </c>
    </row>
    <row r="60" spans="1:7" ht="12.75">
      <c r="A60" s="20"/>
      <c r="B60" s="21" t="s">
        <v>12</v>
      </c>
      <c r="C60" s="22">
        <v>1996</v>
      </c>
      <c r="D60" s="23">
        <f>591176/3592.21</f>
        <v>164.57167036448314</v>
      </c>
      <c r="E60" s="23">
        <f t="shared" si="8"/>
        <v>260.26834318223297</v>
      </c>
      <c r="F60" s="23">
        <f t="shared" si="0"/>
        <v>-95.69667281774983</v>
      </c>
      <c r="G60" s="2">
        <f t="shared" si="1"/>
        <v>-0.5814893450726165</v>
      </c>
    </row>
    <row r="61" spans="1:7" ht="12.75">
      <c r="A61" s="20"/>
      <c r="B61" s="21" t="s">
        <v>13</v>
      </c>
      <c r="C61" s="22">
        <v>1997</v>
      </c>
      <c r="D61" s="23">
        <f>641468/3672.81</f>
        <v>174.65319469289182</v>
      </c>
      <c r="E61" s="23">
        <f aca="true" t="shared" si="9" ref="E61:E66">935008/3672.81</f>
        <v>254.57565188506894</v>
      </c>
      <c r="F61" s="23">
        <f t="shared" si="0"/>
        <v>-79.92245719217712</v>
      </c>
      <c r="G61" s="2">
        <f t="shared" si="1"/>
        <v>-0.4576066148272401</v>
      </c>
    </row>
    <row r="62" spans="1:7" ht="12.75">
      <c r="A62" s="20"/>
      <c r="B62" s="21" t="s">
        <v>14</v>
      </c>
      <c r="C62" s="22">
        <v>1997</v>
      </c>
      <c r="D62" s="23">
        <f>660399/3739.57</f>
        <v>176.59757672673595</v>
      </c>
      <c r="E62" s="23">
        <f t="shared" si="9"/>
        <v>254.57565188506894</v>
      </c>
      <c r="F62" s="23">
        <f t="shared" si="0"/>
        <v>-77.97807515833298</v>
      </c>
      <c r="G62" s="2">
        <f t="shared" si="1"/>
        <v>-0.44155801344315676</v>
      </c>
    </row>
    <row r="63" spans="1:7" ht="12.75">
      <c r="A63" s="16" t="s">
        <v>20</v>
      </c>
      <c r="B63" s="17" t="s">
        <v>15</v>
      </c>
      <c r="C63" s="18">
        <v>1997</v>
      </c>
      <c r="D63" s="19">
        <f>666432/3784.11</f>
        <v>176.1132736627635</v>
      </c>
      <c r="E63" s="19">
        <f t="shared" si="9"/>
        <v>254.57565188506894</v>
      </c>
      <c r="F63" s="19">
        <f t="shared" si="0"/>
        <v>-78.46237822230543</v>
      </c>
      <c r="G63" s="1">
        <f t="shared" si="1"/>
        <v>-0.4455222289067875</v>
      </c>
    </row>
    <row r="64" spans="1:7" ht="12.75">
      <c r="A64" s="16"/>
      <c r="B64" s="17" t="s">
        <v>16</v>
      </c>
      <c r="C64" s="18">
        <v>1997</v>
      </c>
      <c r="D64" s="19">
        <f>682637/3834.08</f>
        <v>178.04453741184327</v>
      </c>
      <c r="E64" s="19">
        <f t="shared" si="9"/>
        <v>254.57565188506894</v>
      </c>
      <c r="F64" s="19">
        <f t="shared" si="0"/>
        <v>-76.53111447322567</v>
      </c>
      <c r="G64" s="1">
        <f t="shared" si="1"/>
        <v>-0.4298425303338452</v>
      </c>
    </row>
    <row r="65" spans="1:7" ht="12.75">
      <c r="A65" s="16"/>
      <c r="B65" s="17" t="s">
        <v>10</v>
      </c>
      <c r="C65" s="18">
        <v>1997</v>
      </c>
      <c r="D65" s="19">
        <f>689870/3898.22</f>
        <v>176.97051474775668</v>
      </c>
      <c r="E65" s="19">
        <f t="shared" si="9"/>
        <v>254.57565188506894</v>
      </c>
      <c r="F65" s="19">
        <f t="shared" si="0"/>
        <v>-77.60513713731225</v>
      </c>
      <c r="G65" s="1">
        <f t="shared" si="1"/>
        <v>-0.43852015262500665</v>
      </c>
    </row>
    <row r="66" spans="1:7" ht="12.75">
      <c r="A66" s="16"/>
      <c r="B66" s="17" t="s">
        <v>8</v>
      </c>
      <c r="C66" s="18">
        <v>1997</v>
      </c>
      <c r="D66" s="19">
        <f>698981/3954.85</f>
        <v>176.74020506466744</v>
      </c>
      <c r="E66" s="19">
        <f t="shared" si="9"/>
        <v>254.57565188506894</v>
      </c>
      <c r="F66" s="19">
        <f t="shared" si="0"/>
        <v>-77.8354468204015</v>
      </c>
      <c r="G66" s="1">
        <f t="shared" si="1"/>
        <v>-0.44039468434430246</v>
      </c>
    </row>
    <row r="67" spans="1:7" ht="12.75">
      <c r="A67" s="16"/>
      <c r="B67" s="17" t="s">
        <v>4</v>
      </c>
      <c r="C67" s="18">
        <v>1997</v>
      </c>
      <c r="D67" s="19">
        <f>716584/4018.645</f>
        <v>178.3148299986687</v>
      </c>
      <c r="E67" s="19">
        <f aca="true" t="shared" si="10" ref="E67:E72">1026913/4018.64</f>
        <v>255.5374455039516</v>
      </c>
      <c r="F67" s="19">
        <f t="shared" si="0"/>
        <v>-77.2226155052829</v>
      </c>
      <c r="G67" s="1">
        <f t="shared" si="1"/>
        <v>-0.4330689461210795</v>
      </c>
    </row>
    <row r="68" spans="1:7" ht="12.75">
      <c r="A68" s="16"/>
      <c r="B68" s="17" t="s">
        <v>7</v>
      </c>
      <c r="C68" s="18">
        <v>1997</v>
      </c>
      <c r="D68" s="19">
        <f>729039/4080.24</f>
        <v>178.67551908711252</v>
      </c>
      <c r="E68" s="19">
        <f t="shared" si="10"/>
        <v>255.5374455039516</v>
      </c>
      <c r="F68" s="19">
        <f t="shared" si="0"/>
        <v>-76.86192641683908</v>
      </c>
      <c r="G68" s="1">
        <f t="shared" si="1"/>
        <v>-0.4301760353603079</v>
      </c>
    </row>
    <row r="69" spans="1:7" ht="12.75">
      <c r="A69" s="16"/>
      <c r="B69" s="17" t="s">
        <v>9</v>
      </c>
      <c r="C69" s="18">
        <v>1997</v>
      </c>
      <c r="D69" s="19">
        <f>743440/4130.39</f>
        <v>179.99268834177886</v>
      </c>
      <c r="E69" s="19">
        <f t="shared" si="10"/>
        <v>255.5374455039516</v>
      </c>
      <c r="F69" s="19">
        <f t="shared" si="0"/>
        <v>-75.54475716217274</v>
      </c>
      <c r="G69" s="1">
        <f t="shared" si="1"/>
        <v>-0.41971014410721336</v>
      </c>
    </row>
    <row r="70" spans="1:7" ht="12.75">
      <c r="A70" s="16"/>
      <c r="B70" s="17" t="s">
        <v>11</v>
      </c>
      <c r="C70" s="18">
        <v>1997</v>
      </c>
      <c r="D70" s="19">
        <f>762458/4194.89</f>
        <v>181.75875887091198</v>
      </c>
      <c r="E70" s="19">
        <f t="shared" si="10"/>
        <v>255.5374455039516</v>
      </c>
      <c r="F70" s="19">
        <f t="shared" si="0"/>
        <v>-73.77868663303963</v>
      </c>
      <c r="G70" s="1">
        <f t="shared" si="1"/>
        <v>-0.4059154402866409</v>
      </c>
    </row>
    <row r="71" spans="1:7" ht="12.75">
      <c r="A71" s="16"/>
      <c r="B71" s="17" t="s">
        <v>3</v>
      </c>
      <c r="C71" s="18">
        <v>1997</v>
      </c>
      <c r="D71" s="19">
        <f>754072/4277.9</f>
        <v>176.2715350989972</v>
      </c>
      <c r="E71" s="19">
        <f t="shared" si="10"/>
        <v>255.5374455039516</v>
      </c>
      <c r="F71" s="19">
        <f t="shared" si="0"/>
        <v>-79.26591040495441</v>
      </c>
      <c r="G71" s="1">
        <f t="shared" si="1"/>
        <v>-0.4496807176521001</v>
      </c>
    </row>
    <row r="72" spans="1:7" ht="12.75">
      <c r="A72" s="16"/>
      <c r="B72" s="17" t="s">
        <v>12</v>
      </c>
      <c r="C72" s="18">
        <v>1997</v>
      </c>
      <c r="D72" s="19">
        <f>764800/4393.58</f>
        <v>174.07216893740411</v>
      </c>
      <c r="E72" s="19">
        <f t="shared" si="10"/>
        <v>255.5374455039516</v>
      </c>
      <c r="F72" s="19">
        <f t="shared" si="0"/>
        <v>-81.46527656654749</v>
      </c>
      <c r="G72" s="1">
        <f t="shared" si="1"/>
        <v>-0.46799713626732703</v>
      </c>
    </row>
    <row r="73" spans="1:7" ht="12.75">
      <c r="A73" s="16"/>
      <c r="B73" s="17" t="s">
        <v>13</v>
      </c>
      <c r="C73" s="18">
        <v>1998</v>
      </c>
      <c r="D73" s="19">
        <f>789935/4498.55</f>
        <v>175.5976925898345</v>
      </c>
      <c r="E73" s="19">
        <f>1122977/4498.55</f>
        <v>249.6308810616754</v>
      </c>
      <c r="F73" s="19">
        <f t="shared" si="0"/>
        <v>-74.0331884718409</v>
      </c>
      <c r="G73" s="1">
        <f t="shared" si="1"/>
        <v>-0.42160684106920177</v>
      </c>
    </row>
    <row r="74" spans="1:7" ht="12.75">
      <c r="A74" s="16"/>
      <c r="B74" s="17" t="s">
        <v>14</v>
      </c>
      <c r="C74" s="18">
        <v>1998</v>
      </c>
      <c r="D74" s="19">
        <f>802246/4537.65</f>
        <v>176.7976816193404</v>
      </c>
      <c r="E74" s="19">
        <f>1122977/4498.55</f>
        <v>249.6308810616754</v>
      </c>
      <c r="F74" s="19">
        <f t="shared" si="0"/>
        <v>-72.833199442335</v>
      </c>
      <c r="G74" s="1">
        <f t="shared" si="1"/>
        <v>-0.41195788754261337</v>
      </c>
    </row>
    <row r="75" spans="1:7" ht="12.75">
      <c r="A75" s="16"/>
      <c r="B75" s="17" t="s">
        <v>15</v>
      </c>
      <c r="C75" s="18">
        <v>1998</v>
      </c>
      <c r="D75" s="19">
        <f>819917/4658.39</f>
        <v>176.00866393754063</v>
      </c>
      <c r="E75" s="19">
        <f>1122977/4498.55</f>
        <v>249.6308810616754</v>
      </c>
      <c r="F75" s="19">
        <f t="shared" si="0"/>
        <v>-73.62221712413478</v>
      </c>
      <c r="G75" s="1">
        <f t="shared" si="1"/>
        <v>-0.41828746083920476</v>
      </c>
    </row>
    <row r="76" spans="1:7" ht="12.75">
      <c r="A76" s="16"/>
      <c r="B76" s="17" t="s">
        <v>16</v>
      </c>
      <c r="C76" s="18">
        <v>1998</v>
      </c>
      <c r="D76" s="19">
        <f>865666/4960</f>
        <v>174.52943548387097</v>
      </c>
      <c r="E76" s="19">
        <f>1122977/4498.55</f>
        <v>249.6308810616754</v>
      </c>
      <c r="F76" s="19">
        <f aca="true" t="shared" si="11" ref="F76:F139">+D76-E76</f>
        <v>-75.10144557780444</v>
      </c>
      <c r="G76" s="1">
        <f aca="true" t="shared" si="12" ref="G76:G83">+F76/D76</f>
        <v>-0.4303081905329654</v>
      </c>
    </row>
    <row r="77" spans="1:7" ht="12.75">
      <c r="A77" s="16"/>
      <c r="B77" s="17" t="s">
        <v>10</v>
      </c>
      <c r="C77" s="18">
        <v>1998</v>
      </c>
      <c r="D77" s="19">
        <f>885865/5150.82</f>
        <v>171.98523730202183</v>
      </c>
      <c r="E77" s="19">
        <f>1135857/5150.82</f>
        <v>220.5196454156814</v>
      </c>
      <c r="F77" s="19">
        <f t="shared" si="11"/>
        <v>-48.534408113659566</v>
      </c>
      <c r="G77" s="1">
        <f t="shared" si="12"/>
        <v>-0.28220101256963526</v>
      </c>
    </row>
    <row r="78" spans="1:7" ht="12.75">
      <c r="A78" s="16"/>
      <c r="B78" s="17" t="s">
        <v>8</v>
      </c>
      <c r="C78" s="18">
        <v>1998</v>
      </c>
      <c r="D78" s="19">
        <f>929528/5235.62</f>
        <v>177.5392408157964</v>
      </c>
      <c r="E78" s="19">
        <f>1135857/5150.82</f>
        <v>220.5196454156814</v>
      </c>
      <c r="F78" s="19">
        <f t="shared" si="11"/>
        <v>-42.98040459988499</v>
      </c>
      <c r="G78" s="1">
        <f t="shared" si="12"/>
        <v>-0.24208960454257417</v>
      </c>
    </row>
    <row r="79" spans="1:7" ht="12.75">
      <c r="A79" s="16"/>
      <c r="B79" s="17" t="s">
        <v>4</v>
      </c>
      <c r="C79" s="18">
        <v>1998</v>
      </c>
      <c r="D79" s="19">
        <f>929234/5301.8</f>
        <v>175.26764495077143</v>
      </c>
      <c r="E79" s="19">
        <f>1259827/5301.8</f>
        <v>237.622505564148</v>
      </c>
      <c r="F79" s="19">
        <f t="shared" si="11"/>
        <v>-62.35486061337659</v>
      </c>
      <c r="G79" s="1">
        <f t="shared" si="12"/>
        <v>-0.35576937563627675</v>
      </c>
    </row>
    <row r="80" spans="1:7" ht="12.75">
      <c r="A80" s="20" t="s">
        <v>21</v>
      </c>
      <c r="B80" s="21" t="s">
        <v>7</v>
      </c>
      <c r="C80" s="22">
        <v>1998</v>
      </c>
      <c r="D80" s="23">
        <f>940489/5432.23</f>
        <v>173.13129230537</v>
      </c>
      <c r="E80" s="23">
        <f>1259827/5301.8</f>
        <v>237.622505564148</v>
      </c>
      <c r="F80" s="23">
        <f t="shared" si="11"/>
        <v>-64.491213258778</v>
      </c>
      <c r="G80" s="2">
        <f t="shared" si="12"/>
        <v>-0.3724988845172369</v>
      </c>
    </row>
    <row r="81" spans="1:7" ht="12.75">
      <c r="A81" s="20"/>
      <c r="B81" s="21" t="s">
        <v>9</v>
      </c>
      <c r="C81" s="22">
        <v>1998</v>
      </c>
      <c r="D81" s="23">
        <f>1002420/5886.84</f>
        <v>170.28150926473285</v>
      </c>
      <c r="E81" s="23">
        <f>1259827/5301.8</f>
        <v>237.622505564148</v>
      </c>
      <c r="F81" s="23">
        <f t="shared" si="11"/>
        <v>-67.34099629941517</v>
      </c>
      <c r="G81" s="2">
        <f t="shared" si="12"/>
        <v>-0.39546863655478665</v>
      </c>
    </row>
    <row r="82" spans="1:7" ht="12.75">
      <c r="A82" s="20"/>
      <c r="B82" s="21" t="s">
        <v>11</v>
      </c>
      <c r="C82" s="22">
        <v>1998</v>
      </c>
      <c r="D82" s="23">
        <f>1064572/6619.88</f>
        <v>160.81439542710743</v>
      </c>
      <c r="E82" s="23">
        <f>1433707/6619.88</f>
        <v>216.57598022924887</v>
      </c>
      <c r="F82" s="23">
        <f t="shared" si="11"/>
        <v>-55.76158480214144</v>
      </c>
      <c r="G82" s="2">
        <f t="shared" si="12"/>
        <v>-0.3467449829602884</v>
      </c>
    </row>
    <row r="83" spans="1:7" ht="12.75">
      <c r="A83" s="20"/>
      <c r="B83" s="21" t="s">
        <v>3</v>
      </c>
      <c r="C83" s="22">
        <v>1998</v>
      </c>
      <c r="D83" s="23">
        <f>1092235/6449.1</f>
        <v>169.36239165154828</v>
      </c>
      <c r="E83" s="23">
        <f>1433707/6619.88</f>
        <v>216.57598022924887</v>
      </c>
      <c r="F83" s="23">
        <f t="shared" si="11"/>
        <v>-47.21358857770059</v>
      </c>
      <c r="G83" s="2">
        <f t="shared" si="12"/>
        <v>-0.2787725664316277</v>
      </c>
    </row>
    <row r="84" spans="1:7" ht="12.75">
      <c r="A84" s="20"/>
      <c r="B84" s="21" t="s">
        <v>12</v>
      </c>
      <c r="C84" s="22">
        <v>1998</v>
      </c>
      <c r="D84" s="23">
        <f>1102208/6582.73</f>
        <v>167.43934507415617</v>
      </c>
      <c r="E84" s="23">
        <f>1433707/6619.88</f>
        <v>216.57598022924887</v>
      </c>
      <c r="F84" s="23">
        <f t="shared" si="11"/>
        <v>-49.136635155092705</v>
      </c>
      <c r="G84" s="2">
        <v>0.301</v>
      </c>
    </row>
    <row r="85" spans="1:7" ht="12.75">
      <c r="A85" s="20"/>
      <c r="B85" s="21" t="s">
        <v>13</v>
      </c>
      <c r="C85" s="22">
        <v>1999</v>
      </c>
      <c r="D85" s="23">
        <f>1140969/7124.28</f>
        <v>160.15218379962607</v>
      </c>
      <c r="E85" s="23">
        <f>1553603/7124.28</f>
        <v>218.071580566738</v>
      </c>
      <c r="F85" s="23">
        <f t="shared" si="11"/>
        <v>-57.91939676711192</v>
      </c>
      <c r="G85" s="2">
        <v>0.362</v>
      </c>
    </row>
    <row r="86" spans="1:7" ht="12.75">
      <c r="A86" s="20"/>
      <c r="B86" s="21" t="s">
        <v>14</v>
      </c>
      <c r="C86" s="22">
        <v>1999</v>
      </c>
      <c r="D86" s="23">
        <f>1176697/7762.34</f>
        <v>151.59049977197597</v>
      </c>
      <c r="E86" s="23">
        <f>1553603/7124.28</f>
        <v>218.071580566738</v>
      </c>
      <c r="F86" s="23">
        <f t="shared" si="11"/>
        <v>-66.48108079476202</v>
      </c>
      <c r="G86" s="2">
        <v>0.32</v>
      </c>
    </row>
    <row r="87" spans="1:7" ht="12.75">
      <c r="A87" s="20"/>
      <c r="B87" s="21" t="s">
        <v>15</v>
      </c>
      <c r="C87" s="22">
        <v>1999</v>
      </c>
      <c r="D87" s="23">
        <f>1293050/10530.26</f>
        <v>122.79373918592702</v>
      </c>
      <c r="E87" s="23">
        <f>1553603/7124.28</f>
        <v>218.071580566738</v>
      </c>
      <c r="F87" s="23">
        <f t="shared" si="11"/>
        <v>-95.27784138081097</v>
      </c>
      <c r="G87" s="2">
        <v>0.202</v>
      </c>
    </row>
    <row r="88" spans="1:7" ht="12.75">
      <c r="A88" s="20"/>
      <c r="B88" s="21" t="s">
        <v>16</v>
      </c>
      <c r="C88" s="22">
        <v>1999</v>
      </c>
      <c r="D88" s="23">
        <f>1386524/9425.05</f>
        <v>147.1105193075899</v>
      </c>
      <c r="E88" s="23">
        <f>1566483/9425.05</f>
        <v>166.20421111824342</v>
      </c>
      <c r="F88" s="23">
        <f t="shared" si="11"/>
        <v>-19.093691810653524</v>
      </c>
      <c r="G88" s="2">
        <v>0.13</v>
      </c>
    </row>
    <row r="89" spans="1:7" ht="12.75">
      <c r="A89" s="20"/>
      <c r="B89" s="21" t="s">
        <v>10</v>
      </c>
      <c r="C89" s="22">
        <v>1999</v>
      </c>
      <c r="D89" s="23">
        <f>1413659/9000.54</f>
        <v>157.06379839431855</v>
      </c>
      <c r="E89" s="23">
        <f>1566483/9425.05</f>
        <v>166.20421111824342</v>
      </c>
      <c r="F89" s="23">
        <f t="shared" si="11"/>
        <v>-9.140412723924868</v>
      </c>
      <c r="G89" s="2">
        <v>0.108</v>
      </c>
    </row>
    <row r="90" spans="1:7" ht="12.75">
      <c r="A90" s="20"/>
      <c r="B90" s="21" t="s">
        <v>8</v>
      </c>
      <c r="C90" s="22">
        <v>1999</v>
      </c>
      <c r="D90" s="23">
        <f>1423280/10842.18</f>
        <v>131.27249317019272</v>
      </c>
      <c r="E90" s="23">
        <f>1592243/10842.18</f>
        <v>146.85635176689559</v>
      </c>
      <c r="F90" s="23">
        <f t="shared" si="11"/>
        <v>-15.583858596702868</v>
      </c>
      <c r="G90" s="2">
        <v>0.119</v>
      </c>
    </row>
    <row r="91" spans="1:7" ht="12.75">
      <c r="A91" s="20"/>
      <c r="B91" s="21" t="s">
        <v>4</v>
      </c>
      <c r="C91" s="22">
        <v>1999</v>
      </c>
      <c r="D91" s="23">
        <f>1457622/11716.1</f>
        <v>124.41187767260436</v>
      </c>
      <c r="E91" s="23">
        <f aca="true" t="shared" si="13" ref="E91:E96">1785759/11716.1</f>
        <v>152.41923506969042</v>
      </c>
      <c r="F91" s="23">
        <f t="shared" si="11"/>
        <v>-28.007357397086054</v>
      </c>
      <c r="G91" s="2">
        <v>0.225</v>
      </c>
    </row>
    <row r="92" spans="1:7" ht="12.75">
      <c r="A92" s="20"/>
      <c r="B92" s="21" t="s">
        <v>7</v>
      </c>
      <c r="C92" s="22">
        <v>1999</v>
      </c>
      <c r="D92" s="23">
        <f>1456104/11189.03</f>
        <v>130.13675001318254</v>
      </c>
      <c r="E92" s="23">
        <f t="shared" si="13"/>
        <v>152.41923506969042</v>
      </c>
      <c r="F92" s="23">
        <f t="shared" si="11"/>
        <v>-22.28248505650788</v>
      </c>
      <c r="G92" s="2">
        <v>0.226</v>
      </c>
    </row>
    <row r="93" spans="1:7" ht="12.75">
      <c r="A93" s="20"/>
      <c r="B93" s="21" t="s">
        <v>9</v>
      </c>
      <c r="C93" s="22">
        <v>1999</v>
      </c>
      <c r="D93" s="23">
        <f>1472150/12076.94</f>
        <v>121.89759988871353</v>
      </c>
      <c r="E93" s="23">
        <f t="shared" si="13"/>
        <v>152.41923506969042</v>
      </c>
      <c r="F93" s="23">
        <f t="shared" si="11"/>
        <v>-30.521635180976887</v>
      </c>
      <c r="G93" s="2">
        <v>0.213</v>
      </c>
    </row>
    <row r="94" spans="1:7" ht="12.75">
      <c r="A94" s="20"/>
      <c r="B94" s="21" t="s">
        <v>11</v>
      </c>
      <c r="C94" s="22">
        <v>1999</v>
      </c>
      <c r="D94" s="23">
        <f>1506420/15503.75</f>
        <v>97.16487946464565</v>
      </c>
      <c r="E94" s="23">
        <f t="shared" si="13"/>
        <v>152.41923506969042</v>
      </c>
      <c r="F94" s="23">
        <f t="shared" si="11"/>
        <v>-55.254355605044765</v>
      </c>
      <c r="G94" s="4">
        <f>+F94/D94</f>
        <v>-0.5686659203354395</v>
      </c>
    </row>
    <row r="95" spans="1:7" ht="12.75">
      <c r="A95" s="20"/>
      <c r="B95" s="21" t="s">
        <v>3</v>
      </c>
      <c r="C95" s="22">
        <v>1999</v>
      </c>
      <c r="D95" s="23">
        <f>1592009/17411.22</f>
        <v>91.43580978242764</v>
      </c>
      <c r="E95" s="23">
        <f t="shared" si="13"/>
        <v>152.41923506969042</v>
      </c>
      <c r="F95" s="23">
        <f t="shared" si="11"/>
        <v>-60.983425287262776</v>
      </c>
      <c r="G95" s="4">
        <f>+F95/D95</f>
        <v>-0.666953411714441</v>
      </c>
    </row>
    <row r="96" spans="1:7" ht="12.75">
      <c r="A96" s="20"/>
      <c r="B96" s="21" t="s">
        <v>12</v>
      </c>
      <c r="C96" s="22">
        <v>1999</v>
      </c>
      <c r="D96" s="23">
        <f>1694738/18140.56</f>
        <v>93.42258452881278</v>
      </c>
      <c r="E96" s="23">
        <f t="shared" si="13"/>
        <v>152.41923506969042</v>
      </c>
      <c r="F96" s="23">
        <f t="shared" si="11"/>
        <v>-58.99665054087764</v>
      </c>
      <c r="G96" s="4">
        <f>+F96/D96</f>
        <v>-0.6315030871649915</v>
      </c>
    </row>
    <row r="97" spans="1:7" ht="12.75">
      <c r="A97" s="16" t="s">
        <v>22</v>
      </c>
      <c r="B97" s="17" t="s">
        <v>5</v>
      </c>
      <c r="C97" s="18">
        <v>2000</v>
      </c>
      <c r="D97" s="19">
        <f>1892060/24999.87</f>
        <v>75.68279355052647</v>
      </c>
      <c r="E97" s="19">
        <f>1973593/24999.87</f>
        <v>78.94413050947865</v>
      </c>
      <c r="F97" s="19">
        <f t="shared" si="11"/>
        <v>-3.2613369589521852</v>
      </c>
      <c r="G97" s="3">
        <v>0.043</v>
      </c>
    </row>
    <row r="98" spans="1:7" ht="12.75">
      <c r="A98" s="16"/>
      <c r="B98" s="17" t="s">
        <v>17</v>
      </c>
      <c r="C98" s="18">
        <v>2000</v>
      </c>
      <c r="D98" s="19">
        <f>2083892/25000</f>
        <v>83.35568</v>
      </c>
      <c r="E98" s="19">
        <f>1973593/24578.1</f>
        <v>80.29884327917944</v>
      </c>
      <c r="F98" s="19">
        <f t="shared" si="11"/>
        <v>3.05683672082057</v>
      </c>
      <c r="G98" s="3">
        <v>0.053</v>
      </c>
    </row>
    <row r="99" spans="1:7" ht="12.75">
      <c r="A99" s="16"/>
      <c r="B99" s="17" t="s">
        <v>6</v>
      </c>
      <c r="C99" s="18">
        <v>2000</v>
      </c>
      <c r="D99" s="19">
        <f>2301529/25000</f>
        <v>92.06116</v>
      </c>
      <c r="E99" s="19">
        <f>1973593/24578.1</f>
        <v>80.29884327917944</v>
      </c>
      <c r="F99" s="19">
        <f t="shared" si="11"/>
        <v>11.762316720820564</v>
      </c>
      <c r="G99" s="3">
        <f>+F99/D99</f>
        <v>0.1277663318691679</v>
      </c>
    </row>
    <row r="100" spans="1:7" ht="12.75">
      <c r="A100" s="16"/>
      <c r="B100" s="17" t="s">
        <v>16</v>
      </c>
      <c r="C100" s="18">
        <v>2000</v>
      </c>
      <c r="D100" s="19">
        <f>2680053/25000</f>
        <v>107.20212</v>
      </c>
      <c r="E100" s="19">
        <f>2842993/25000</f>
        <v>113.71972</v>
      </c>
      <c r="F100" s="19">
        <f t="shared" si="11"/>
        <v>-6.517600000000002</v>
      </c>
      <c r="G100" s="3">
        <v>0.061</v>
      </c>
    </row>
    <row r="101" spans="1:7" ht="12.75">
      <c r="A101" s="16"/>
      <c r="B101" s="17" t="s">
        <v>34</v>
      </c>
      <c r="C101" s="18">
        <v>2000</v>
      </c>
      <c r="D101" s="19">
        <v>112.45</v>
      </c>
      <c r="E101" s="19">
        <v>116.3</v>
      </c>
      <c r="F101" s="19">
        <f t="shared" si="11"/>
        <v>-3.8499999999999943</v>
      </c>
      <c r="G101" s="3">
        <v>0.034</v>
      </c>
    </row>
    <row r="102" spans="1:7" ht="12.75">
      <c r="A102" s="16"/>
      <c r="B102" s="17" t="s">
        <v>35</v>
      </c>
      <c r="C102" s="18">
        <v>2000</v>
      </c>
      <c r="D102" s="19">
        <v>118.74</v>
      </c>
      <c r="E102" s="24">
        <v>164.6</v>
      </c>
      <c r="F102" s="19">
        <f t="shared" si="11"/>
        <v>-45.86</v>
      </c>
      <c r="G102" s="3">
        <v>0.386</v>
      </c>
    </row>
    <row r="103" spans="1:7" ht="12.75">
      <c r="A103" s="16"/>
      <c r="B103" s="17" t="s">
        <v>23</v>
      </c>
      <c r="C103" s="18">
        <v>2000</v>
      </c>
      <c r="D103" s="19">
        <v>167.93</v>
      </c>
      <c r="E103" s="24">
        <v>163.57</v>
      </c>
      <c r="F103" s="19">
        <f t="shared" si="11"/>
        <v>4.360000000000014</v>
      </c>
      <c r="G103" s="3">
        <v>0.026</v>
      </c>
    </row>
    <row r="104" spans="1:7" ht="12.75">
      <c r="A104" s="16"/>
      <c r="B104" s="17" t="s">
        <v>36</v>
      </c>
      <c r="C104" s="18">
        <v>2000</v>
      </c>
      <c r="D104" s="19">
        <v>169.29</v>
      </c>
      <c r="E104" s="24">
        <v>163.57</v>
      </c>
      <c r="F104" s="19">
        <f t="shared" si="11"/>
        <v>5.719999999999999</v>
      </c>
      <c r="G104" s="3">
        <v>0.034</v>
      </c>
    </row>
    <row r="105" spans="1:7" ht="12.75">
      <c r="A105" s="16"/>
      <c r="B105" s="17" t="s">
        <v>24</v>
      </c>
      <c r="C105" s="18">
        <v>2000</v>
      </c>
      <c r="D105" s="19">
        <v>175.23</v>
      </c>
      <c r="E105" s="24">
        <v>163.57</v>
      </c>
      <c r="F105" s="19">
        <f t="shared" si="11"/>
        <v>11.659999999999997</v>
      </c>
      <c r="G105" s="3">
        <v>0.067</v>
      </c>
    </row>
    <row r="106" spans="1:7" ht="12.75">
      <c r="A106" s="16"/>
      <c r="B106" s="17" t="s">
        <v>25</v>
      </c>
      <c r="C106" s="18">
        <v>2000</v>
      </c>
      <c r="D106" s="19">
        <v>179.07</v>
      </c>
      <c r="E106" s="24">
        <v>163.57</v>
      </c>
      <c r="F106" s="19">
        <f t="shared" si="11"/>
        <v>15.5</v>
      </c>
      <c r="G106" s="3">
        <v>0.087</v>
      </c>
    </row>
    <row r="107" spans="1:7" ht="12.75">
      <c r="A107" s="16"/>
      <c r="B107" s="17" t="s">
        <v>26</v>
      </c>
      <c r="C107" s="18">
        <v>2000</v>
      </c>
      <c r="D107" s="19">
        <v>181.95</v>
      </c>
      <c r="E107" s="24">
        <v>163.57</v>
      </c>
      <c r="F107" s="19">
        <f t="shared" si="11"/>
        <v>18.379999999999995</v>
      </c>
      <c r="G107" s="3">
        <v>0.101</v>
      </c>
    </row>
    <row r="108" spans="1:7" ht="12.75">
      <c r="A108" s="16"/>
      <c r="B108" s="17" t="s">
        <v>37</v>
      </c>
      <c r="C108" s="18">
        <v>2000</v>
      </c>
      <c r="D108" s="19">
        <v>186.28</v>
      </c>
      <c r="E108" s="17">
        <v>163.57</v>
      </c>
      <c r="F108" s="19">
        <f t="shared" si="11"/>
        <v>22.710000000000008</v>
      </c>
      <c r="G108" s="3">
        <v>0.122</v>
      </c>
    </row>
    <row r="109" spans="1:7" ht="12.75">
      <c r="A109" s="16"/>
      <c r="B109" s="17" t="s">
        <v>13</v>
      </c>
      <c r="C109" s="18">
        <v>2001</v>
      </c>
      <c r="D109" s="19">
        <v>202.49</v>
      </c>
      <c r="E109" s="17">
        <v>200.73</v>
      </c>
      <c r="F109" s="19">
        <f t="shared" si="11"/>
        <v>1.7600000000000193</v>
      </c>
      <c r="G109" s="3">
        <v>0.009</v>
      </c>
    </row>
    <row r="110" spans="1:7" ht="12.75">
      <c r="A110" s="16"/>
      <c r="B110" s="17" t="s">
        <v>14</v>
      </c>
      <c r="C110" s="18">
        <v>2001</v>
      </c>
      <c r="D110" s="19">
        <v>210.12</v>
      </c>
      <c r="E110" s="17">
        <v>200.73</v>
      </c>
      <c r="F110" s="19">
        <f t="shared" si="11"/>
        <v>9.390000000000015</v>
      </c>
      <c r="G110" s="3">
        <v>0.045</v>
      </c>
    </row>
    <row r="111" spans="1:7" ht="12.75">
      <c r="A111" s="16"/>
      <c r="B111" s="17" t="s">
        <v>15</v>
      </c>
      <c r="C111" s="18">
        <v>2001</v>
      </c>
      <c r="D111" s="19">
        <v>214.92</v>
      </c>
      <c r="E111" s="24">
        <v>200.73</v>
      </c>
      <c r="F111" s="19">
        <f t="shared" si="11"/>
        <v>14.189999999999998</v>
      </c>
      <c r="G111" s="3">
        <f aca="true" t="shared" si="14" ref="G111:G174">+F111/D111</f>
        <v>0.06602456728084868</v>
      </c>
    </row>
    <row r="112" spans="1:7" ht="12.75">
      <c r="A112" s="16"/>
      <c r="B112" s="17" t="s">
        <v>16</v>
      </c>
      <c r="C112" s="18">
        <v>2001</v>
      </c>
      <c r="D112" s="24">
        <v>218.84</v>
      </c>
      <c r="E112" s="24">
        <v>200.73</v>
      </c>
      <c r="F112" s="19">
        <f t="shared" si="11"/>
        <v>18.110000000000014</v>
      </c>
      <c r="G112" s="3">
        <f t="shared" si="14"/>
        <v>0.08275452385304338</v>
      </c>
    </row>
    <row r="113" spans="1:7" ht="12.75">
      <c r="A113" s="16"/>
      <c r="B113" s="17" t="s">
        <v>10</v>
      </c>
      <c r="C113" s="18">
        <v>2001</v>
      </c>
      <c r="D113" s="24">
        <v>218.17</v>
      </c>
      <c r="E113" s="24">
        <v>200.73</v>
      </c>
      <c r="F113" s="19">
        <f t="shared" si="11"/>
        <v>17.439999999999998</v>
      </c>
      <c r="G113" s="3">
        <f t="shared" si="14"/>
        <v>0.07993766329009487</v>
      </c>
    </row>
    <row r="114" spans="1:7" ht="12.75">
      <c r="A114" s="16"/>
      <c r="B114" s="17" t="s">
        <v>8</v>
      </c>
      <c r="C114" s="18">
        <v>2001</v>
      </c>
      <c r="D114" s="24">
        <v>218.98</v>
      </c>
      <c r="E114" s="24">
        <v>200.73</v>
      </c>
      <c r="F114" s="19">
        <f t="shared" si="11"/>
        <v>18.25</v>
      </c>
      <c r="G114" s="3">
        <f t="shared" si="14"/>
        <v>0.08334094437848205</v>
      </c>
    </row>
    <row r="115" spans="1:7" ht="12.75">
      <c r="A115" s="16"/>
      <c r="B115" s="17" t="s">
        <v>4</v>
      </c>
      <c r="C115" s="18">
        <v>2001</v>
      </c>
      <c r="D115" s="24">
        <v>219.35</v>
      </c>
      <c r="E115" s="24">
        <v>200.73</v>
      </c>
      <c r="F115" s="19">
        <f t="shared" si="11"/>
        <v>18.620000000000005</v>
      </c>
      <c r="G115" s="3">
        <f t="shared" si="14"/>
        <v>0.08488716662867565</v>
      </c>
    </row>
    <row r="116" spans="1:7" ht="12.75">
      <c r="A116" s="16"/>
      <c r="B116" s="17" t="s">
        <v>7</v>
      </c>
      <c r="C116" s="18">
        <v>2001</v>
      </c>
      <c r="D116" s="24">
        <v>221.14</v>
      </c>
      <c r="E116" s="24">
        <v>200.73</v>
      </c>
      <c r="F116" s="19">
        <f t="shared" si="11"/>
        <v>20.409999999999997</v>
      </c>
      <c r="G116" s="3">
        <f t="shared" si="14"/>
        <v>0.0922944740888125</v>
      </c>
    </row>
    <row r="117" spans="1:7" ht="12.75">
      <c r="A117" s="16"/>
      <c r="B117" s="17" t="s">
        <v>9</v>
      </c>
      <c r="C117" s="18">
        <v>2001</v>
      </c>
      <c r="D117" s="24">
        <v>226.26</v>
      </c>
      <c r="E117" s="24">
        <v>200.73</v>
      </c>
      <c r="F117" s="19">
        <f t="shared" si="11"/>
        <v>25.53</v>
      </c>
      <c r="G117" s="3">
        <f t="shared" si="14"/>
        <v>0.1128347918324052</v>
      </c>
    </row>
    <row r="118" spans="1:7" ht="12.75">
      <c r="A118" s="16"/>
      <c r="B118" s="17" t="s">
        <v>11</v>
      </c>
      <c r="C118" s="18">
        <v>2001</v>
      </c>
      <c r="D118" s="24">
        <v>229.2</v>
      </c>
      <c r="E118" s="24">
        <v>200.73</v>
      </c>
      <c r="F118" s="19">
        <f t="shared" si="11"/>
        <v>28.47</v>
      </c>
      <c r="G118" s="3">
        <f t="shared" si="14"/>
        <v>0.12421465968586387</v>
      </c>
    </row>
    <row r="119" spans="1:7" ht="12.75">
      <c r="A119" s="16"/>
      <c r="B119" s="17" t="s">
        <v>3</v>
      </c>
      <c r="C119" s="18">
        <v>2001</v>
      </c>
      <c r="D119" s="24">
        <v>235.29</v>
      </c>
      <c r="E119" s="24">
        <v>200.73</v>
      </c>
      <c r="F119" s="19">
        <f t="shared" si="11"/>
        <v>34.56</v>
      </c>
      <c r="G119" s="3">
        <f t="shared" si="14"/>
        <v>0.1468825704449828</v>
      </c>
    </row>
    <row r="120" spans="1:7" ht="12.75">
      <c r="A120" s="16"/>
      <c r="B120" s="17" t="s">
        <v>12</v>
      </c>
      <c r="C120" s="18">
        <v>2001</v>
      </c>
      <c r="D120" s="24">
        <v>238.4</v>
      </c>
      <c r="E120" s="24">
        <v>200.73</v>
      </c>
      <c r="F120" s="19">
        <f t="shared" si="11"/>
        <v>37.670000000000016</v>
      </c>
      <c r="G120" s="3">
        <f t="shared" si="14"/>
        <v>0.15801174496644302</v>
      </c>
    </row>
    <row r="121" spans="1:7" ht="12.75">
      <c r="A121" s="16"/>
      <c r="B121" s="17" t="s">
        <v>5</v>
      </c>
      <c r="C121" s="18">
        <v>2002</v>
      </c>
      <c r="D121" s="24">
        <v>242.91</v>
      </c>
      <c r="E121" s="24">
        <v>221.26</v>
      </c>
      <c r="F121" s="19">
        <f t="shared" si="11"/>
        <v>21.650000000000006</v>
      </c>
      <c r="G121" s="3">
        <f t="shared" si="14"/>
        <v>0.08912766045037258</v>
      </c>
    </row>
    <row r="122" spans="1:7" ht="12.75">
      <c r="A122" s="16"/>
      <c r="B122" s="17" t="s">
        <v>17</v>
      </c>
      <c r="C122" s="18">
        <v>2002</v>
      </c>
      <c r="D122" s="24">
        <v>245.43</v>
      </c>
      <c r="E122" s="24">
        <v>221.26</v>
      </c>
      <c r="F122" s="19">
        <f t="shared" si="11"/>
        <v>24.170000000000016</v>
      </c>
      <c r="G122" s="3">
        <f t="shared" si="14"/>
        <v>0.09848021839220965</v>
      </c>
    </row>
    <row r="123" spans="1:7" ht="12.75">
      <c r="A123" s="16"/>
      <c r="B123" s="17" t="s">
        <v>6</v>
      </c>
      <c r="C123" s="18">
        <v>2002</v>
      </c>
      <c r="D123" s="24">
        <v>248.38</v>
      </c>
      <c r="E123" s="24">
        <v>221.26</v>
      </c>
      <c r="F123" s="19">
        <f t="shared" si="11"/>
        <v>27.120000000000005</v>
      </c>
      <c r="G123" s="3">
        <f t="shared" si="14"/>
        <v>0.10918753522827927</v>
      </c>
    </row>
    <row r="124" spans="1:7" ht="12.75">
      <c r="A124" s="16"/>
      <c r="B124" s="17" t="s">
        <v>16</v>
      </c>
      <c r="C124" s="18">
        <v>2002</v>
      </c>
      <c r="D124" s="24">
        <v>250.99</v>
      </c>
      <c r="E124" s="24">
        <v>221.26</v>
      </c>
      <c r="F124" s="19">
        <f t="shared" si="11"/>
        <v>29.730000000000018</v>
      </c>
      <c r="G124" s="3">
        <f t="shared" si="14"/>
        <v>0.1184509343001714</v>
      </c>
    </row>
    <row r="125" spans="1:7" ht="12.75">
      <c r="A125" s="16"/>
      <c r="B125" s="17" t="s">
        <v>10</v>
      </c>
      <c r="C125" s="18">
        <v>2002</v>
      </c>
      <c r="D125" s="24">
        <v>252.71</v>
      </c>
      <c r="E125" s="24">
        <v>221.26</v>
      </c>
      <c r="F125" s="19">
        <f t="shared" si="11"/>
        <v>31.450000000000017</v>
      </c>
      <c r="G125" s="3">
        <f t="shared" si="14"/>
        <v>0.12445095168374823</v>
      </c>
    </row>
    <row r="126" spans="1:7" ht="12.75">
      <c r="A126" s="16"/>
      <c r="B126" s="17" t="s">
        <v>8</v>
      </c>
      <c r="C126" s="18">
        <v>2002</v>
      </c>
      <c r="D126" s="24">
        <v>252.79</v>
      </c>
      <c r="E126" s="24">
        <v>221.26</v>
      </c>
      <c r="F126" s="19">
        <f t="shared" si="11"/>
        <v>31.53</v>
      </c>
      <c r="G126" s="3">
        <f t="shared" si="14"/>
        <v>0.12472803512797184</v>
      </c>
    </row>
    <row r="127" spans="1:7" ht="12.75">
      <c r="A127" s="16"/>
      <c r="B127" s="17" t="s">
        <v>4</v>
      </c>
      <c r="C127" s="18">
        <v>2002</v>
      </c>
      <c r="D127" s="24">
        <v>254.63</v>
      </c>
      <c r="E127" s="24">
        <v>221.26</v>
      </c>
      <c r="F127" s="19">
        <f t="shared" si="11"/>
        <v>33.370000000000005</v>
      </c>
      <c r="G127" s="3">
        <f t="shared" si="14"/>
        <v>0.1310529002866905</v>
      </c>
    </row>
    <row r="128" spans="1:7" ht="12.75">
      <c r="A128" s="16"/>
      <c r="B128" s="17" t="s">
        <v>7</v>
      </c>
      <c r="C128" s="18">
        <v>2002</v>
      </c>
      <c r="D128" s="24">
        <v>256.54</v>
      </c>
      <c r="E128" s="24">
        <v>221.26</v>
      </c>
      <c r="F128" s="19">
        <f t="shared" si="11"/>
        <v>35.28000000000003</v>
      </c>
      <c r="G128" s="3">
        <f t="shared" si="14"/>
        <v>0.1375224136586888</v>
      </c>
    </row>
    <row r="129" spans="1:7" ht="12.75">
      <c r="A129" s="16"/>
      <c r="B129" s="17" t="s">
        <v>9</v>
      </c>
      <c r="C129" s="18">
        <v>2002</v>
      </c>
      <c r="D129" s="24">
        <v>257.13</v>
      </c>
      <c r="E129" s="24">
        <v>221.26</v>
      </c>
      <c r="F129" s="19">
        <f t="shared" si="11"/>
        <v>35.870000000000005</v>
      </c>
      <c r="G129" s="3">
        <f t="shared" si="14"/>
        <v>0.13950141951542022</v>
      </c>
    </row>
    <row r="130" spans="1:7" ht="12.75">
      <c r="A130" s="16"/>
      <c r="B130" s="17" t="s">
        <v>11</v>
      </c>
      <c r="C130" s="18">
        <v>2002</v>
      </c>
      <c r="D130" s="24">
        <v>261.59</v>
      </c>
      <c r="E130" s="24">
        <v>221.26</v>
      </c>
      <c r="F130" s="19">
        <f t="shared" si="11"/>
        <v>40.329999999999984</v>
      </c>
      <c r="G130" s="3">
        <f t="shared" si="14"/>
        <v>0.15417256011315414</v>
      </c>
    </row>
    <row r="131" spans="1:7" ht="12.75">
      <c r="A131" s="16"/>
      <c r="B131" s="17" t="s">
        <v>3</v>
      </c>
      <c r="C131" s="18">
        <v>2002</v>
      </c>
      <c r="D131" s="24">
        <v>266.29</v>
      </c>
      <c r="E131" s="24">
        <v>221.26</v>
      </c>
      <c r="F131" s="19">
        <f t="shared" si="11"/>
        <v>45.03000000000003</v>
      </c>
      <c r="G131" s="3">
        <f t="shared" si="14"/>
        <v>0.16910135566487675</v>
      </c>
    </row>
    <row r="132" spans="1:7" ht="12.75">
      <c r="A132" s="16"/>
      <c r="B132" s="17" t="s">
        <v>12</v>
      </c>
      <c r="C132" s="18">
        <v>2002</v>
      </c>
      <c r="D132" s="24">
        <v>268.04</v>
      </c>
      <c r="E132" s="24">
        <v>221.26</v>
      </c>
      <c r="F132" s="19">
        <f t="shared" si="11"/>
        <v>46.78000000000003</v>
      </c>
      <c r="G132" s="3">
        <f t="shared" si="14"/>
        <v>0.17452619012087758</v>
      </c>
    </row>
    <row r="133" spans="1:7" ht="12.75">
      <c r="A133" s="20" t="s">
        <v>27</v>
      </c>
      <c r="B133" s="21" t="s">
        <v>5</v>
      </c>
      <c r="C133" s="22">
        <v>2003</v>
      </c>
      <c r="D133" s="25">
        <v>275.86</v>
      </c>
      <c r="E133" s="25">
        <v>253.17</v>
      </c>
      <c r="F133" s="23">
        <f t="shared" si="11"/>
        <v>22.690000000000026</v>
      </c>
      <c r="G133" s="4">
        <f t="shared" si="14"/>
        <v>0.08225186688900175</v>
      </c>
    </row>
    <row r="134" spans="1:7" ht="12.75">
      <c r="A134" s="20"/>
      <c r="B134" s="21" t="s">
        <v>17</v>
      </c>
      <c r="C134" s="22">
        <v>2003</v>
      </c>
      <c r="D134" s="25">
        <v>253.1</v>
      </c>
      <c r="E134" s="25">
        <v>253.17</v>
      </c>
      <c r="F134" s="23">
        <f t="shared" si="11"/>
        <v>-0.06999999999999318</v>
      </c>
      <c r="G134" s="4">
        <f t="shared" si="14"/>
        <v>-0.00027657052548397146</v>
      </c>
    </row>
    <row r="135" spans="1:7" ht="12.75">
      <c r="A135" s="20"/>
      <c r="B135" s="21" t="s">
        <v>6</v>
      </c>
      <c r="C135" s="22">
        <v>2003</v>
      </c>
      <c r="D135" s="25">
        <v>254.39</v>
      </c>
      <c r="E135" s="25">
        <v>253.17</v>
      </c>
      <c r="F135" s="23">
        <f t="shared" si="11"/>
        <v>1.2199999999999989</v>
      </c>
      <c r="G135" s="4">
        <f t="shared" si="14"/>
        <v>0.004795785997877271</v>
      </c>
    </row>
    <row r="136" spans="1:7" ht="12.75">
      <c r="A136" s="20"/>
      <c r="B136" s="21" t="s">
        <v>16</v>
      </c>
      <c r="C136" s="22">
        <v>2003</v>
      </c>
      <c r="D136" s="25">
        <v>256.61</v>
      </c>
      <c r="E136" s="25">
        <v>253.17</v>
      </c>
      <c r="F136" s="23">
        <f t="shared" si="11"/>
        <v>3.440000000000026</v>
      </c>
      <c r="G136" s="4">
        <f t="shared" si="14"/>
        <v>0.01340555707104176</v>
      </c>
    </row>
    <row r="137" spans="1:7" ht="12.75">
      <c r="A137" s="20"/>
      <c r="B137" s="21" t="s">
        <v>10</v>
      </c>
      <c r="C137" s="22">
        <v>2003</v>
      </c>
      <c r="D137" s="25">
        <v>257.15</v>
      </c>
      <c r="E137" s="25">
        <v>253.17</v>
      </c>
      <c r="F137" s="23">
        <f t="shared" si="11"/>
        <v>3.9799999999999898</v>
      </c>
      <c r="G137" s="4">
        <f t="shared" si="14"/>
        <v>0.015477347851448532</v>
      </c>
    </row>
    <row r="138" spans="1:7" ht="12.75">
      <c r="A138" s="20"/>
      <c r="B138" s="21" t="s">
        <v>8</v>
      </c>
      <c r="C138" s="22">
        <v>2003</v>
      </c>
      <c r="D138" s="25">
        <v>257.93</v>
      </c>
      <c r="E138" s="25">
        <v>253.17</v>
      </c>
      <c r="F138" s="23">
        <f t="shared" si="11"/>
        <v>4.760000000000019</v>
      </c>
      <c r="G138" s="4">
        <f t="shared" si="14"/>
        <v>0.01845461947039902</v>
      </c>
    </row>
    <row r="139" spans="1:7" ht="12.75">
      <c r="A139" s="20"/>
      <c r="B139" s="21" t="s">
        <v>4</v>
      </c>
      <c r="C139" s="22">
        <v>2003</v>
      </c>
      <c r="D139" s="25">
        <v>258.58</v>
      </c>
      <c r="E139" s="25">
        <v>253.17</v>
      </c>
      <c r="F139" s="23">
        <f t="shared" si="11"/>
        <v>5.409999999999997</v>
      </c>
      <c r="G139" s="4">
        <f t="shared" si="14"/>
        <v>0.020921958388119718</v>
      </c>
    </row>
    <row r="140" spans="1:7" ht="12.75">
      <c r="A140" s="20"/>
      <c r="B140" s="21" t="s">
        <v>7</v>
      </c>
      <c r="C140" s="22">
        <v>2003</v>
      </c>
      <c r="D140" s="25">
        <v>260.87</v>
      </c>
      <c r="E140" s="25">
        <v>253.17</v>
      </c>
      <c r="F140" s="23">
        <f aca="true" t="shared" si="15" ref="F140:F203">+D140-E140</f>
        <v>7.700000000000017</v>
      </c>
      <c r="G140" s="4">
        <f t="shared" si="14"/>
        <v>0.029516617472304277</v>
      </c>
    </row>
    <row r="141" spans="1:7" ht="12.75">
      <c r="A141" s="20"/>
      <c r="B141" s="21" t="s">
        <v>9</v>
      </c>
      <c r="C141" s="22">
        <v>2003</v>
      </c>
      <c r="D141" s="25">
        <v>262.66</v>
      </c>
      <c r="E141" s="25">
        <v>253.17</v>
      </c>
      <c r="F141" s="23">
        <f t="shared" si="15"/>
        <v>9.490000000000038</v>
      </c>
      <c r="G141" s="4">
        <f t="shared" si="14"/>
        <v>0.03613035863854427</v>
      </c>
    </row>
    <row r="142" spans="1:7" ht="12.75">
      <c r="A142" s="20"/>
      <c r="B142" s="21" t="s">
        <v>11</v>
      </c>
      <c r="C142" s="22">
        <v>2003</v>
      </c>
      <c r="D142" s="25">
        <v>263.78</v>
      </c>
      <c r="E142" s="25">
        <v>253.17</v>
      </c>
      <c r="F142" s="23">
        <f t="shared" si="15"/>
        <v>10.609999999999985</v>
      </c>
      <c r="G142" s="4">
        <f t="shared" si="14"/>
        <v>0.04022291303358855</v>
      </c>
    </row>
    <row r="143" spans="1:7" ht="12.75">
      <c r="A143" s="20"/>
      <c r="B143" s="21" t="s">
        <v>3</v>
      </c>
      <c r="C143" s="22">
        <v>2003</v>
      </c>
      <c r="D143" s="25">
        <v>264.54</v>
      </c>
      <c r="E143" s="25">
        <v>253.17</v>
      </c>
      <c r="F143" s="23">
        <f t="shared" si="15"/>
        <v>11.370000000000033</v>
      </c>
      <c r="G143" s="4">
        <f t="shared" si="14"/>
        <v>0.04298026763438433</v>
      </c>
    </row>
    <row r="144" spans="1:7" ht="12.75">
      <c r="A144" s="20"/>
      <c r="B144" s="21" t="s">
        <v>12</v>
      </c>
      <c r="C144" s="22">
        <v>2003</v>
      </c>
      <c r="D144" s="25">
        <v>264.7</v>
      </c>
      <c r="E144" s="25">
        <v>253.17</v>
      </c>
      <c r="F144" s="23">
        <f t="shared" si="15"/>
        <v>11.530000000000001</v>
      </c>
      <c r="G144" s="4">
        <f t="shared" si="14"/>
        <v>0.04355874574990556</v>
      </c>
    </row>
    <row r="145" spans="1:7" ht="12.75">
      <c r="A145" s="20"/>
      <c r="B145" s="21" t="s">
        <v>13</v>
      </c>
      <c r="C145" s="22">
        <v>2004</v>
      </c>
      <c r="D145" s="25">
        <v>267.2</v>
      </c>
      <c r="E145" s="25">
        <v>265.95</v>
      </c>
      <c r="F145" s="23">
        <f t="shared" si="15"/>
        <v>1.25</v>
      </c>
      <c r="G145" s="4">
        <f t="shared" si="14"/>
        <v>0.004678143712574851</v>
      </c>
    </row>
    <row r="146" spans="1:7" ht="12.75">
      <c r="A146" s="20"/>
      <c r="B146" s="21" t="s">
        <v>17</v>
      </c>
      <c r="C146" s="22">
        <v>2004</v>
      </c>
      <c r="D146" s="25">
        <v>269.15</v>
      </c>
      <c r="E146" s="25">
        <v>265.95</v>
      </c>
      <c r="F146" s="23">
        <f t="shared" si="15"/>
        <v>3.1999999999999886</v>
      </c>
      <c r="G146" s="4">
        <f t="shared" si="14"/>
        <v>0.011889281070035255</v>
      </c>
    </row>
    <row r="147" spans="1:7" ht="12.75">
      <c r="A147" s="20"/>
      <c r="B147" s="21" t="s">
        <v>6</v>
      </c>
      <c r="C147" s="22">
        <v>2004</v>
      </c>
      <c r="D147" s="25">
        <v>270.14</v>
      </c>
      <c r="E147" s="25">
        <v>265.95</v>
      </c>
      <c r="F147" s="23">
        <f t="shared" si="15"/>
        <v>4.189999999999998</v>
      </c>
      <c r="G147" s="4">
        <f t="shared" si="14"/>
        <v>0.01551047604945583</v>
      </c>
    </row>
    <row r="148" spans="1:7" ht="12.75">
      <c r="A148" s="20"/>
      <c r="B148" s="21" t="s">
        <v>16</v>
      </c>
      <c r="C148" s="22">
        <v>2004</v>
      </c>
      <c r="D148" s="25">
        <v>271.71</v>
      </c>
      <c r="E148" s="25">
        <v>265.95</v>
      </c>
      <c r="F148" s="23">
        <f t="shared" si="15"/>
        <v>5.759999999999991</v>
      </c>
      <c r="G148" s="4">
        <f t="shared" si="14"/>
        <v>0.02119907254057632</v>
      </c>
    </row>
    <row r="149" spans="1:7" ht="12.75">
      <c r="A149" s="20"/>
      <c r="B149" s="21" t="s">
        <v>10</v>
      </c>
      <c r="C149" s="22">
        <v>2004</v>
      </c>
      <c r="D149" s="25">
        <v>271.42</v>
      </c>
      <c r="E149" s="25">
        <v>265.95</v>
      </c>
      <c r="F149" s="23">
        <f t="shared" si="15"/>
        <v>5.470000000000027</v>
      </c>
      <c r="G149" s="4">
        <f t="shared" si="14"/>
        <v>0.020153267997936878</v>
      </c>
    </row>
    <row r="150" spans="1:7" ht="12.75">
      <c r="A150" s="20"/>
      <c r="B150" s="21" t="s">
        <v>8</v>
      </c>
      <c r="C150" s="22">
        <v>2004</v>
      </c>
      <c r="D150" s="25">
        <v>271.03</v>
      </c>
      <c r="E150" s="25">
        <v>265.95</v>
      </c>
      <c r="F150" s="23">
        <f t="shared" si="15"/>
        <v>5.079999999999984</v>
      </c>
      <c r="G150" s="4">
        <f t="shared" si="14"/>
        <v>0.018743312548426316</v>
      </c>
    </row>
    <row r="151" spans="1:7" ht="12.75">
      <c r="A151" s="20"/>
      <c r="B151" s="21" t="s">
        <v>4</v>
      </c>
      <c r="C151" s="22">
        <v>2004</v>
      </c>
      <c r="D151" s="25">
        <v>269.42</v>
      </c>
      <c r="E151" s="25">
        <v>265.95</v>
      </c>
      <c r="F151" s="23">
        <f t="shared" si="15"/>
        <v>3.4700000000000273</v>
      </c>
      <c r="G151" s="4">
        <f t="shared" si="14"/>
        <v>0.012879518966669242</v>
      </c>
    </row>
    <row r="152" spans="1:7" ht="12.75">
      <c r="A152" s="20"/>
      <c r="B152" s="21" t="s">
        <v>7</v>
      </c>
      <c r="C152" s="22">
        <v>2004</v>
      </c>
      <c r="D152" s="25">
        <v>269.49</v>
      </c>
      <c r="E152" s="25">
        <v>265.95</v>
      </c>
      <c r="F152" s="23">
        <f t="shared" si="15"/>
        <v>3.5400000000000205</v>
      </c>
      <c r="G152" s="4">
        <f t="shared" si="14"/>
        <v>0.013135923410887308</v>
      </c>
    </row>
    <row r="153" spans="1:7" ht="12.75">
      <c r="A153" s="20"/>
      <c r="B153" s="21" t="s">
        <v>9</v>
      </c>
      <c r="C153" s="22">
        <v>2004</v>
      </c>
      <c r="D153" s="25">
        <v>270.21</v>
      </c>
      <c r="E153" s="25">
        <v>265.95</v>
      </c>
      <c r="F153" s="23">
        <f t="shared" si="15"/>
        <v>4.259999999999991</v>
      </c>
      <c r="G153" s="4">
        <f t="shared" si="14"/>
        <v>0.0157655157100033</v>
      </c>
    </row>
    <row r="154" spans="1:7" ht="12.75">
      <c r="A154" s="20"/>
      <c r="B154" s="21" t="s">
        <v>11</v>
      </c>
      <c r="C154" s="22">
        <v>2004</v>
      </c>
      <c r="D154" s="25">
        <v>271.16</v>
      </c>
      <c r="E154" s="25">
        <v>265.95</v>
      </c>
      <c r="F154" s="23">
        <f t="shared" si="15"/>
        <v>5.210000000000036</v>
      </c>
      <c r="G154" s="4">
        <f t="shared" si="14"/>
        <v>0.019213748340463327</v>
      </c>
    </row>
    <row r="155" spans="1:7" ht="12.75">
      <c r="A155" s="20"/>
      <c r="B155" s="21" t="s">
        <v>3</v>
      </c>
      <c r="C155" s="22">
        <v>2004</v>
      </c>
      <c r="D155" s="25">
        <v>272.54</v>
      </c>
      <c r="E155" s="25">
        <v>265.95</v>
      </c>
      <c r="F155" s="23">
        <f t="shared" si="15"/>
        <v>6.590000000000032</v>
      </c>
      <c r="G155" s="4">
        <f t="shared" si="14"/>
        <v>0.024179936889997915</v>
      </c>
    </row>
    <row r="156" spans="1:7" ht="12.75">
      <c r="A156" s="20"/>
      <c r="B156" s="21" t="s">
        <v>12</v>
      </c>
      <c r="C156" s="22">
        <v>2004</v>
      </c>
      <c r="D156" s="25">
        <v>273.48</v>
      </c>
      <c r="E156" s="25">
        <v>265.95</v>
      </c>
      <c r="F156" s="23">
        <f t="shared" si="15"/>
        <v>7.53000000000003</v>
      </c>
      <c r="G156" s="4">
        <f t="shared" si="14"/>
        <v>0.0275340061430453</v>
      </c>
    </row>
    <row r="157" spans="1:7" ht="12.75">
      <c r="A157" s="20"/>
      <c r="B157" s="21" t="s">
        <v>5</v>
      </c>
      <c r="C157" s="22">
        <v>2005</v>
      </c>
      <c r="D157" s="25">
        <v>278.72</v>
      </c>
      <c r="E157" s="25">
        <v>265.95</v>
      </c>
      <c r="F157" s="23">
        <f t="shared" si="15"/>
        <v>12.770000000000039</v>
      </c>
      <c r="G157" s="4">
        <f t="shared" si="14"/>
        <v>0.04581659012629175</v>
      </c>
    </row>
    <row r="158" spans="1:7" ht="12.75">
      <c r="A158" s="20"/>
      <c r="B158" s="21" t="s">
        <v>17</v>
      </c>
      <c r="C158" s="22">
        <v>2005</v>
      </c>
      <c r="D158" s="25">
        <v>280.89</v>
      </c>
      <c r="E158" s="25">
        <v>268.09</v>
      </c>
      <c r="F158" s="23">
        <f t="shared" si="15"/>
        <v>12.800000000000011</v>
      </c>
      <c r="G158" s="4">
        <f t="shared" si="14"/>
        <v>0.045569439994303865</v>
      </c>
    </row>
    <row r="159" spans="1:7" ht="12.75">
      <c r="A159" s="20"/>
      <c r="B159" s="21" t="s">
        <v>6</v>
      </c>
      <c r="C159" s="22">
        <v>2005</v>
      </c>
      <c r="D159" s="25">
        <v>282.3129153458262</v>
      </c>
      <c r="E159" s="25">
        <v>280</v>
      </c>
      <c r="F159" s="23">
        <f t="shared" si="15"/>
        <v>2.312915345826184</v>
      </c>
      <c r="G159" s="4">
        <f t="shared" si="14"/>
        <v>0.008192736570315677</v>
      </c>
    </row>
    <row r="160" spans="1:7" ht="12.75">
      <c r="A160" s="20"/>
      <c r="B160" s="21" t="s">
        <v>16</v>
      </c>
      <c r="C160" s="22">
        <v>2005</v>
      </c>
      <c r="D160" s="25">
        <v>285.112158566835</v>
      </c>
      <c r="E160" s="25">
        <v>280</v>
      </c>
      <c r="F160" s="23">
        <f t="shared" si="15"/>
        <v>5.112158566834978</v>
      </c>
      <c r="G160" s="4">
        <f t="shared" si="14"/>
        <v>0.01793034219421619</v>
      </c>
    </row>
    <row r="161" spans="1:7" ht="12.75">
      <c r="A161" s="16" t="s">
        <v>28</v>
      </c>
      <c r="B161" s="17" t="s">
        <v>10</v>
      </c>
      <c r="C161" s="18">
        <v>2005</v>
      </c>
      <c r="D161" s="24">
        <v>285.35215136886734</v>
      </c>
      <c r="E161" s="24">
        <v>280</v>
      </c>
      <c r="F161" s="19">
        <f t="shared" si="15"/>
        <v>5.352151368867339</v>
      </c>
      <c r="G161" s="3">
        <f t="shared" si="14"/>
        <v>0.018756302846123462</v>
      </c>
    </row>
    <row r="162" spans="1:7" ht="12.75">
      <c r="A162" s="16"/>
      <c r="B162" s="17" t="s">
        <v>8</v>
      </c>
      <c r="C162" s="18">
        <v>2005</v>
      </c>
      <c r="D162" s="24">
        <v>284.90904514406265</v>
      </c>
      <c r="E162" s="24">
        <v>280</v>
      </c>
      <c r="F162" s="19">
        <f t="shared" si="15"/>
        <v>4.909045144062645</v>
      </c>
      <c r="G162" s="3">
        <f t="shared" si="14"/>
        <v>0.017230218653045623</v>
      </c>
    </row>
    <row r="163" spans="1:7" ht="12.75">
      <c r="A163" s="16"/>
      <c r="B163" s="17" t="s">
        <v>4</v>
      </c>
      <c r="C163" s="18">
        <v>2005</v>
      </c>
      <c r="D163" s="24">
        <v>284.946708238173</v>
      </c>
      <c r="E163" s="24">
        <v>280</v>
      </c>
      <c r="F163" s="19">
        <f t="shared" si="15"/>
        <v>4.9467082381730165</v>
      </c>
      <c r="G163" s="3">
        <f t="shared" si="14"/>
        <v>0.01736011715579569</v>
      </c>
    </row>
    <row r="164" spans="1:7" ht="12.75">
      <c r="A164" s="16"/>
      <c r="B164" s="17" t="s">
        <v>7</v>
      </c>
      <c r="C164" s="18">
        <v>2005</v>
      </c>
      <c r="D164" s="24">
        <v>284.90904514406265</v>
      </c>
      <c r="E164" s="24">
        <v>280</v>
      </c>
      <c r="F164" s="19">
        <f t="shared" si="15"/>
        <v>4.909045144062645</v>
      </c>
      <c r="G164" s="3">
        <f t="shared" si="14"/>
        <v>0.017230218653045623</v>
      </c>
    </row>
    <row r="165" spans="1:7" ht="12.75">
      <c r="A165" s="16"/>
      <c r="B165" s="17" t="s">
        <v>9</v>
      </c>
      <c r="C165" s="18">
        <v>2005</v>
      </c>
      <c r="D165" s="24">
        <v>286.42</v>
      </c>
      <c r="E165" s="24">
        <v>280</v>
      </c>
      <c r="F165" s="19">
        <f t="shared" si="15"/>
        <v>6.420000000000016</v>
      </c>
      <c r="G165" s="3">
        <f t="shared" si="14"/>
        <v>0.022414635849451907</v>
      </c>
    </row>
    <row r="166" spans="1:7" ht="12.75">
      <c r="A166" s="16"/>
      <c r="B166" s="17" t="s">
        <v>11</v>
      </c>
      <c r="C166" s="18">
        <v>2005</v>
      </c>
      <c r="D166" s="24">
        <v>291.86</v>
      </c>
      <c r="E166" s="24">
        <v>280</v>
      </c>
      <c r="F166" s="19">
        <f t="shared" si="15"/>
        <v>11.860000000000014</v>
      </c>
      <c r="G166" s="3">
        <f t="shared" si="14"/>
        <v>0.040635921332145594</v>
      </c>
    </row>
    <row r="167" spans="1:7" ht="12.75">
      <c r="A167" s="16"/>
      <c r="B167" s="17" t="s">
        <v>3</v>
      </c>
      <c r="C167" s="18">
        <v>2005</v>
      </c>
      <c r="D167" s="24">
        <v>295.16</v>
      </c>
      <c r="E167" s="24">
        <v>280</v>
      </c>
      <c r="F167" s="19">
        <f t="shared" si="15"/>
        <v>15.160000000000025</v>
      </c>
      <c r="G167" s="3">
        <f t="shared" si="14"/>
        <v>0.05136197316709589</v>
      </c>
    </row>
    <row r="168" spans="1:7" ht="12.75">
      <c r="A168" s="16"/>
      <c r="B168" s="17" t="s">
        <v>12</v>
      </c>
      <c r="C168" s="18">
        <v>2005</v>
      </c>
      <c r="D168" s="24">
        <v>296.59</v>
      </c>
      <c r="E168" s="24">
        <v>280</v>
      </c>
      <c r="F168" s="19">
        <f t="shared" si="15"/>
        <v>16.589999999999975</v>
      </c>
      <c r="G168" s="3">
        <f t="shared" si="14"/>
        <v>0.05593580363464708</v>
      </c>
    </row>
    <row r="169" spans="1:7" ht="12.75">
      <c r="A169" s="16"/>
      <c r="B169" s="17" t="s">
        <v>5</v>
      </c>
      <c r="C169" s="18">
        <v>2006</v>
      </c>
      <c r="D169" s="24">
        <v>298.56</v>
      </c>
      <c r="E169" s="24">
        <v>298.67</v>
      </c>
      <c r="F169" s="19">
        <f t="shared" si="15"/>
        <v>-0.11000000000001364</v>
      </c>
      <c r="G169" s="3">
        <f t="shared" si="14"/>
        <v>-0.00036843515541269304</v>
      </c>
    </row>
    <row r="170" spans="1:7" ht="12.75">
      <c r="A170" s="16"/>
      <c r="B170" s="17" t="s">
        <v>17</v>
      </c>
      <c r="C170" s="18">
        <v>2006</v>
      </c>
      <c r="D170" s="24">
        <v>301.37</v>
      </c>
      <c r="E170" s="24">
        <v>298.67</v>
      </c>
      <c r="F170" s="19">
        <f t="shared" si="15"/>
        <v>2.6999999999999886</v>
      </c>
      <c r="G170" s="3">
        <f t="shared" si="14"/>
        <v>0.008959086836778672</v>
      </c>
    </row>
    <row r="171" spans="1:7" ht="12.75">
      <c r="A171" s="16"/>
      <c r="B171" s="17" t="s">
        <v>6</v>
      </c>
      <c r="C171" s="18">
        <v>2006</v>
      </c>
      <c r="D171" s="24">
        <v>304.07</v>
      </c>
      <c r="E171" s="24">
        <v>298.67</v>
      </c>
      <c r="F171" s="19">
        <f t="shared" si="15"/>
        <v>5.399999999999977</v>
      </c>
      <c r="G171" s="3">
        <f t="shared" si="14"/>
        <v>0.017759068635511487</v>
      </c>
    </row>
    <row r="172" spans="1:7" ht="12.75">
      <c r="A172" s="16"/>
      <c r="B172" s="17" t="s">
        <v>16</v>
      </c>
      <c r="C172" s="18">
        <v>2006</v>
      </c>
      <c r="D172" s="24">
        <v>303.06</v>
      </c>
      <c r="E172" s="24">
        <v>298.67</v>
      </c>
      <c r="F172" s="19">
        <f t="shared" si="15"/>
        <v>4.389999999999986</v>
      </c>
      <c r="G172" s="3">
        <f t="shared" si="14"/>
        <v>0.014485580413119469</v>
      </c>
    </row>
    <row r="173" spans="1:7" ht="12.75">
      <c r="A173" s="16"/>
      <c r="B173" s="17" t="s">
        <v>10</v>
      </c>
      <c r="C173" s="18">
        <v>2006</v>
      </c>
      <c r="D173" s="24">
        <v>302</v>
      </c>
      <c r="E173" s="24">
        <v>298.67</v>
      </c>
      <c r="F173" s="19">
        <f t="shared" si="15"/>
        <v>3.329999999999984</v>
      </c>
      <c r="G173" s="3">
        <f t="shared" si="14"/>
        <v>0.011026490066225112</v>
      </c>
    </row>
    <row r="174" spans="1:7" ht="12.75">
      <c r="A174" s="16"/>
      <c r="B174" s="17" t="s">
        <v>8</v>
      </c>
      <c r="C174" s="18">
        <v>2006</v>
      </c>
      <c r="D174" s="24">
        <v>300.45</v>
      </c>
      <c r="E174" s="24">
        <v>298.67</v>
      </c>
      <c r="F174" s="19">
        <f t="shared" si="15"/>
        <v>1.7799999999999727</v>
      </c>
      <c r="G174" s="3">
        <f t="shared" si="14"/>
        <v>0.005924446663338235</v>
      </c>
    </row>
    <row r="175" spans="1:7" ht="12.75">
      <c r="A175" s="16"/>
      <c r="B175" s="17" t="s">
        <v>4</v>
      </c>
      <c r="C175" s="18">
        <v>2006</v>
      </c>
      <c r="D175" s="24">
        <v>300.51</v>
      </c>
      <c r="E175" s="24">
        <v>298.67</v>
      </c>
      <c r="F175" s="19">
        <f t="shared" si="15"/>
        <v>1.839999999999975</v>
      </c>
      <c r="G175" s="3">
        <f aca="true" t="shared" si="16" ref="G175:G207">+F175/D175</f>
        <v>0.00612292436191799</v>
      </c>
    </row>
    <row r="176" spans="1:7" ht="12.75">
      <c r="A176" s="16"/>
      <c r="B176" s="17" t="s">
        <v>7</v>
      </c>
      <c r="C176" s="18">
        <v>2006</v>
      </c>
      <c r="D176" s="24">
        <v>302.11</v>
      </c>
      <c r="E176" s="24">
        <v>298.67</v>
      </c>
      <c r="F176" s="19">
        <f t="shared" si="15"/>
        <v>3.4399999999999977</v>
      </c>
      <c r="G176" s="3">
        <f t="shared" si="16"/>
        <v>0.011386581046638634</v>
      </c>
    </row>
    <row r="177" spans="1:7" ht="12.75">
      <c r="A177" s="16"/>
      <c r="B177" s="17" t="s">
        <v>9</v>
      </c>
      <c r="C177" s="18">
        <v>2006</v>
      </c>
      <c r="D177" s="24">
        <v>304.53</v>
      </c>
      <c r="E177" s="24">
        <v>298.67</v>
      </c>
      <c r="F177" s="19">
        <f t="shared" si="15"/>
        <v>5.859999999999957</v>
      </c>
      <c r="G177" s="3">
        <f t="shared" si="16"/>
        <v>0.019242767543427436</v>
      </c>
    </row>
    <row r="178" spans="1:7" ht="12.75">
      <c r="A178" s="16"/>
      <c r="B178" s="17" t="s">
        <v>11</v>
      </c>
      <c r="C178" s="18">
        <v>2006</v>
      </c>
      <c r="D178" s="24">
        <v>306.51</v>
      </c>
      <c r="E178" s="24">
        <v>298.67</v>
      </c>
      <c r="F178" s="19">
        <f t="shared" si="15"/>
        <v>7.839999999999975</v>
      </c>
      <c r="G178" s="3">
        <f t="shared" si="16"/>
        <v>0.025578284558415633</v>
      </c>
    </row>
    <row r="179" spans="1:7" ht="12.75">
      <c r="A179" s="16"/>
      <c r="B179" s="17" t="s">
        <v>3</v>
      </c>
      <c r="C179" s="18">
        <v>2006</v>
      </c>
      <c r="D179" s="24">
        <v>307.11</v>
      </c>
      <c r="E179" s="24">
        <v>298.67</v>
      </c>
      <c r="F179" s="19">
        <f t="shared" si="15"/>
        <v>8.439999999999998</v>
      </c>
      <c r="G179" s="3">
        <f t="shared" si="16"/>
        <v>0.02748200970336361</v>
      </c>
    </row>
    <row r="180" spans="1:7" ht="12.75">
      <c r="A180" s="16"/>
      <c r="B180" s="17" t="s">
        <v>12</v>
      </c>
      <c r="C180" s="18">
        <v>2006</v>
      </c>
      <c r="D180" s="24">
        <v>306.56</v>
      </c>
      <c r="E180" s="24">
        <v>298.67</v>
      </c>
      <c r="F180" s="19">
        <f t="shared" si="15"/>
        <v>7.889999999999986</v>
      </c>
      <c r="G180" s="3">
        <f t="shared" si="16"/>
        <v>0.02573721294363252</v>
      </c>
    </row>
    <row r="181" spans="1:7" ht="12.75">
      <c r="A181" s="20" t="s">
        <v>29</v>
      </c>
      <c r="B181" s="21" t="s">
        <v>30</v>
      </c>
      <c r="C181" s="22">
        <v>2007</v>
      </c>
      <c r="D181" s="25">
        <v>317.34</v>
      </c>
      <c r="E181" s="25">
        <v>317.34</v>
      </c>
      <c r="F181" s="23">
        <f t="shared" si="15"/>
        <v>0</v>
      </c>
      <c r="G181" s="4">
        <f t="shared" si="16"/>
        <v>0</v>
      </c>
    </row>
    <row r="182" spans="1:7" ht="12.75">
      <c r="A182" s="20"/>
      <c r="B182" s="21" t="s">
        <v>17</v>
      </c>
      <c r="C182" s="22">
        <v>2007</v>
      </c>
      <c r="D182" s="25">
        <v>316.01</v>
      </c>
      <c r="E182" s="25">
        <v>317.34</v>
      </c>
      <c r="F182" s="23">
        <f t="shared" si="15"/>
        <v>-1.329999999999984</v>
      </c>
      <c r="G182" s="4">
        <f t="shared" si="16"/>
        <v>-0.004208727571912231</v>
      </c>
    </row>
    <row r="183" spans="1:7" ht="12.75">
      <c r="A183" s="20"/>
      <c r="B183" s="21" t="s">
        <v>6</v>
      </c>
      <c r="C183" s="22">
        <v>2007</v>
      </c>
      <c r="D183" s="25">
        <v>316.28</v>
      </c>
      <c r="E183" s="25">
        <v>317.34</v>
      </c>
      <c r="F183" s="23">
        <f t="shared" si="15"/>
        <v>-1.0600000000000023</v>
      </c>
      <c r="G183" s="4">
        <f t="shared" si="16"/>
        <v>-0.0033514607309978574</v>
      </c>
    </row>
    <row r="184" spans="1:7" ht="12.75">
      <c r="A184" s="20"/>
      <c r="B184" s="21" t="s">
        <v>16</v>
      </c>
      <c r="C184" s="22">
        <v>2007</v>
      </c>
      <c r="D184" s="25">
        <v>317.19</v>
      </c>
      <c r="E184" s="25">
        <v>317.34</v>
      </c>
      <c r="F184" s="23">
        <f t="shared" si="15"/>
        <v>-0.14999999999997726</v>
      </c>
      <c r="G184" s="4">
        <f t="shared" si="16"/>
        <v>-0.00047290267662907805</v>
      </c>
    </row>
    <row r="185" spans="1:7" ht="12.75">
      <c r="A185" s="20"/>
      <c r="B185" s="21" t="s">
        <v>10</v>
      </c>
      <c r="C185" s="22">
        <v>2007</v>
      </c>
      <c r="D185" s="25">
        <v>317.06</v>
      </c>
      <c r="E185" s="25">
        <v>317.34</v>
      </c>
      <c r="F185" s="23">
        <f t="shared" si="15"/>
        <v>-0.2799999999999727</v>
      </c>
      <c r="G185" s="4">
        <f t="shared" si="16"/>
        <v>-0.0008831136062574047</v>
      </c>
    </row>
    <row r="186" spans="1:7" ht="12.75">
      <c r="A186" s="20"/>
      <c r="B186" s="21" t="s">
        <v>8</v>
      </c>
      <c r="C186" s="22">
        <v>2007</v>
      </c>
      <c r="D186" s="25">
        <v>319.04</v>
      </c>
      <c r="E186" s="25">
        <v>317.34</v>
      </c>
      <c r="F186" s="23">
        <f t="shared" si="15"/>
        <v>1.7000000000000455</v>
      </c>
      <c r="G186" s="4">
        <f t="shared" si="16"/>
        <v>0.00532848545636925</v>
      </c>
    </row>
    <row r="187" spans="1:7" ht="12.75">
      <c r="A187" s="20"/>
      <c r="B187" s="21" t="s">
        <v>4</v>
      </c>
      <c r="C187" s="22">
        <v>2007</v>
      </c>
      <c r="D187" s="25">
        <v>321.37</v>
      </c>
      <c r="E187" s="25">
        <v>317.34</v>
      </c>
      <c r="F187" s="23">
        <f t="shared" si="15"/>
        <v>4.03000000000003</v>
      </c>
      <c r="G187" s="4">
        <f t="shared" si="16"/>
        <v>0.012540062855898277</v>
      </c>
    </row>
    <row r="188" spans="1:7" ht="12.75">
      <c r="A188" s="20"/>
      <c r="B188" s="21" t="s">
        <v>7</v>
      </c>
      <c r="C188" s="22">
        <v>2007</v>
      </c>
      <c r="D188" s="25">
        <v>322.03</v>
      </c>
      <c r="E188" s="25">
        <v>317.34</v>
      </c>
      <c r="F188" s="23">
        <f t="shared" si="15"/>
        <v>4.689999999999998</v>
      </c>
      <c r="G188" s="4">
        <f t="shared" si="16"/>
        <v>0.014563860509890378</v>
      </c>
    </row>
    <row r="189" spans="1:7" ht="12.75">
      <c r="A189" s="20"/>
      <c r="B189" s="21" t="s">
        <v>9</v>
      </c>
      <c r="C189" s="22">
        <v>2007</v>
      </c>
      <c r="D189" s="25">
        <v>323.87</v>
      </c>
      <c r="E189" s="25">
        <v>317.34</v>
      </c>
      <c r="F189" s="23">
        <f t="shared" si="15"/>
        <v>6.53000000000003</v>
      </c>
      <c r="G189" s="4">
        <f t="shared" si="16"/>
        <v>0.020162410843857195</v>
      </c>
    </row>
    <row r="190" spans="1:7" ht="12.75">
      <c r="A190" s="20"/>
      <c r="B190" s="21" t="s">
        <v>11</v>
      </c>
      <c r="C190" s="22">
        <v>2007</v>
      </c>
      <c r="D190" s="25">
        <v>325.63</v>
      </c>
      <c r="E190" s="25">
        <v>317.34</v>
      </c>
      <c r="F190" s="23">
        <f t="shared" si="15"/>
        <v>8.29000000000002</v>
      </c>
      <c r="G190" s="4">
        <f t="shared" si="16"/>
        <v>0.025458342290329578</v>
      </c>
    </row>
    <row r="191" spans="1:7" ht="12.75">
      <c r="A191" s="20"/>
      <c r="B191" s="21" t="s">
        <v>3</v>
      </c>
      <c r="C191" s="22">
        <v>2007</v>
      </c>
      <c r="D191" s="25">
        <v>328.03</v>
      </c>
      <c r="E191" s="25">
        <v>317.34</v>
      </c>
      <c r="F191" s="23">
        <f t="shared" si="15"/>
        <v>10.689999999999998</v>
      </c>
      <c r="G191" s="4">
        <f t="shared" si="16"/>
        <v>0.0325884827607231</v>
      </c>
    </row>
    <row r="192" spans="1:7" ht="12.75">
      <c r="A192" s="20"/>
      <c r="B192" s="21" t="s">
        <v>12</v>
      </c>
      <c r="C192" s="22">
        <v>2007</v>
      </c>
      <c r="D192" s="25">
        <v>330.39</v>
      </c>
      <c r="E192" s="25">
        <v>317.34</v>
      </c>
      <c r="F192" s="23">
        <f t="shared" si="15"/>
        <v>13.050000000000011</v>
      </c>
      <c r="G192" s="4">
        <f t="shared" si="16"/>
        <v>0.03949877417597388</v>
      </c>
    </row>
    <row r="193" spans="1:7" ht="12.75">
      <c r="A193" s="20"/>
      <c r="B193" s="21" t="s">
        <v>13</v>
      </c>
      <c r="C193" s="22">
        <v>2008</v>
      </c>
      <c r="D193" s="21">
        <v>334.74</v>
      </c>
      <c r="E193" s="21">
        <v>373.34</v>
      </c>
      <c r="F193" s="25">
        <f t="shared" si="15"/>
        <v>-38.599999999999966</v>
      </c>
      <c r="G193" s="4">
        <f t="shared" si="16"/>
        <v>-0.1153133775467526</v>
      </c>
    </row>
    <row r="194" spans="1:7" ht="12.75">
      <c r="A194" s="20"/>
      <c r="B194" s="21" t="s">
        <v>17</v>
      </c>
      <c r="C194" s="22">
        <v>2008</v>
      </c>
      <c r="D194" s="21">
        <v>338.24</v>
      </c>
      <c r="E194" s="21">
        <v>373.34</v>
      </c>
      <c r="F194" s="25">
        <f t="shared" si="15"/>
        <v>-35.099999999999966</v>
      </c>
      <c r="G194" s="4">
        <f t="shared" si="16"/>
        <v>-0.1037724692526016</v>
      </c>
    </row>
    <row r="195" spans="1:7" ht="12.75">
      <c r="A195" s="20"/>
      <c r="B195" s="21" t="s">
        <v>6</v>
      </c>
      <c r="C195" s="22">
        <v>2008</v>
      </c>
      <c r="D195" s="21">
        <v>343.29</v>
      </c>
      <c r="E195" s="21">
        <v>373.34</v>
      </c>
      <c r="F195" s="25">
        <f t="shared" si="15"/>
        <v>-30.049999999999955</v>
      </c>
      <c r="G195" s="4">
        <f t="shared" si="16"/>
        <v>-0.0875353199918435</v>
      </c>
    </row>
    <row r="196" spans="1:7" ht="12.75">
      <c r="A196" s="20"/>
      <c r="B196" s="21" t="s">
        <v>16</v>
      </c>
      <c r="C196" s="22">
        <v>2008</v>
      </c>
      <c r="D196" s="25">
        <v>349.7</v>
      </c>
      <c r="E196" s="21">
        <v>373.34</v>
      </c>
      <c r="F196" s="25">
        <f t="shared" si="15"/>
        <v>-23.639999999999986</v>
      </c>
      <c r="G196" s="4">
        <f t="shared" si="16"/>
        <v>-0.0676008006863025</v>
      </c>
    </row>
    <row r="197" spans="1:7" ht="12.75">
      <c r="A197" s="20"/>
      <c r="B197" s="21" t="s">
        <v>10</v>
      </c>
      <c r="C197" s="22">
        <v>2008</v>
      </c>
      <c r="D197" s="25">
        <v>355.5</v>
      </c>
      <c r="E197" s="21">
        <v>373.34</v>
      </c>
      <c r="F197" s="25">
        <f t="shared" si="15"/>
        <v>-17.839999999999975</v>
      </c>
      <c r="G197" s="4">
        <f t="shared" si="16"/>
        <v>-0.05018284106891695</v>
      </c>
    </row>
    <row r="198" spans="1:7" ht="12.75">
      <c r="A198" s="20"/>
      <c r="B198" s="21" t="s">
        <v>8</v>
      </c>
      <c r="C198" s="22">
        <v>2008</v>
      </c>
      <c r="D198" s="25">
        <v>358.81</v>
      </c>
      <c r="E198" s="21">
        <v>373.34</v>
      </c>
      <c r="F198" s="25">
        <f t="shared" si="15"/>
        <v>-14.529999999999973</v>
      </c>
      <c r="G198" s="5">
        <f t="shared" si="16"/>
        <v>-0.04049496948245582</v>
      </c>
    </row>
    <row r="199" spans="1:7" ht="12.75">
      <c r="A199" s="20"/>
      <c r="B199" s="21" t="s">
        <v>4</v>
      </c>
      <c r="C199" s="22">
        <v>2008</v>
      </c>
      <c r="D199" s="25">
        <v>356.77</v>
      </c>
      <c r="E199" s="21">
        <v>373.34</v>
      </c>
      <c r="F199" s="25">
        <f t="shared" si="15"/>
        <v>-16.569999999999993</v>
      </c>
      <c r="G199" s="5">
        <f t="shared" si="16"/>
        <v>-0.046444488045519504</v>
      </c>
    </row>
    <row r="200" spans="1:7" ht="12.75">
      <c r="A200" s="20"/>
      <c r="B200" s="21" t="s">
        <v>7</v>
      </c>
      <c r="C200" s="22">
        <v>2008</v>
      </c>
      <c r="D200" s="25">
        <v>357</v>
      </c>
      <c r="E200" s="21">
        <v>373.34</v>
      </c>
      <c r="F200" s="25">
        <f t="shared" si="15"/>
        <v>-16.339999999999975</v>
      </c>
      <c r="G200" s="5">
        <f t="shared" si="16"/>
        <v>-0.04577030812324923</v>
      </c>
    </row>
    <row r="201" spans="1:7" ht="12.75">
      <c r="A201" s="20"/>
      <c r="B201" s="21" t="s">
        <v>9</v>
      </c>
      <c r="C201" s="22">
        <v>2008</v>
      </c>
      <c r="D201" s="25">
        <v>358.27</v>
      </c>
      <c r="E201" s="21">
        <v>373.34</v>
      </c>
      <c r="F201" s="25">
        <f t="shared" si="15"/>
        <v>-15.069999999999993</v>
      </c>
      <c r="G201" s="5">
        <f t="shared" si="16"/>
        <v>-0.04206324838808718</v>
      </c>
    </row>
    <row r="202" spans="1:7" ht="12.75">
      <c r="A202" s="20"/>
      <c r="B202" s="21" t="s">
        <v>11</v>
      </c>
      <c r="C202" s="22">
        <v>2008</v>
      </c>
      <c r="D202" s="25">
        <v>356.41</v>
      </c>
      <c r="E202" s="21">
        <v>373.34</v>
      </c>
      <c r="F202" s="25">
        <f t="shared" si="15"/>
        <v>-16.92999999999995</v>
      </c>
      <c r="G202" s="5">
        <f t="shared" si="16"/>
        <v>-0.04750147302264232</v>
      </c>
    </row>
    <row r="203" spans="1:7" ht="12.75">
      <c r="A203" s="20"/>
      <c r="B203" s="21" t="s">
        <v>3</v>
      </c>
      <c r="C203" s="22">
        <v>2008</v>
      </c>
      <c r="D203" s="25">
        <v>356.86</v>
      </c>
      <c r="E203" s="21">
        <v>373.34</v>
      </c>
      <c r="F203" s="25">
        <f t="shared" si="15"/>
        <v>-16.47999999999996</v>
      </c>
      <c r="G203" s="5">
        <f t="shared" si="16"/>
        <v>-0.0461805750154121</v>
      </c>
    </row>
    <row r="204" spans="1:7" ht="12.75">
      <c r="A204" s="20"/>
      <c r="B204" s="21" t="s">
        <v>12</v>
      </c>
      <c r="C204" s="22">
        <v>2008</v>
      </c>
      <c r="D204" s="25">
        <v>358.83</v>
      </c>
      <c r="E204" s="21">
        <v>373.34</v>
      </c>
      <c r="F204" s="25">
        <f aca="true" t="shared" si="17" ref="F204:F220">+D204-E204</f>
        <v>-14.509999999999991</v>
      </c>
      <c r="G204" s="5">
        <f t="shared" si="16"/>
        <v>-0.0404369757266672</v>
      </c>
    </row>
    <row r="205" spans="1:7" ht="12.75">
      <c r="A205" s="20"/>
      <c r="B205" s="21" t="s">
        <v>5</v>
      </c>
      <c r="C205" s="22">
        <v>2009</v>
      </c>
      <c r="D205" s="25">
        <v>361.72</v>
      </c>
      <c r="E205" s="21">
        <v>406.93</v>
      </c>
      <c r="F205" s="25">
        <f t="shared" si="17"/>
        <v>-45.20999999999998</v>
      </c>
      <c r="G205" s="5">
        <f t="shared" si="16"/>
        <v>-0.1249861771535994</v>
      </c>
    </row>
    <row r="206" spans="1:7" ht="12.75">
      <c r="A206" s="20"/>
      <c r="B206" s="21" t="s">
        <v>17</v>
      </c>
      <c r="C206" s="22">
        <v>2009</v>
      </c>
      <c r="D206" s="25">
        <v>360.89</v>
      </c>
      <c r="E206" s="21">
        <v>406.93</v>
      </c>
      <c r="F206" s="25">
        <f t="shared" si="17"/>
        <v>-46.04000000000002</v>
      </c>
      <c r="G206" s="5">
        <f t="shared" si="16"/>
        <v>-0.12757349885006516</v>
      </c>
    </row>
    <row r="207" spans="1:7" ht="12.75">
      <c r="A207" s="20"/>
      <c r="B207" s="21" t="s">
        <v>6</v>
      </c>
      <c r="C207" s="22">
        <v>2009</v>
      </c>
      <c r="D207" s="25">
        <v>367.07</v>
      </c>
      <c r="E207" s="21">
        <v>406.93</v>
      </c>
      <c r="F207" s="25">
        <f t="shared" si="17"/>
        <v>-39.860000000000014</v>
      </c>
      <c r="G207" s="5">
        <f t="shared" si="16"/>
        <v>-0.10858964230255813</v>
      </c>
    </row>
    <row r="208" spans="1:7" ht="12.75">
      <c r="A208" s="20"/>
      <c r="B208" s="21" t="s">
        <v>16</v>
      </c>
      <c r="C208" s="22">
        <v>2009</v>
      </c>
      <c r="D208" s="25">
        <v>369.41</v>
      </c>
      <c r="E208" s="21">
        <v>406.93</v>
      </c>
      <c r="F208" s="25">
        <f t="shared" si="17"/>
        <v>-37.51999999999998</v>
      </c>
      <c r="G208" s="5">
        <f>+F208/D208</f>
        <v>-0.10156736417530651</v>
      </c>
    </row>
    <row r="209" spans="1:7" ht="12.75">
      <c r="A209" s="20"/>
      <c r="B209" s="21" t="s">
        <v>10</v>
      </c>
      <c r="C209" s="22">
        <v>2009</v>
      </c>
      <c r="D209" s="25">
        <v>368.62</v>
      </c>
      <c r="E209" s="21">
        <v>406.93</v>
      </c>
      <c r="F209" s="25">
        <f t="shared" si="17"/>
        <v>-38.31</v>
      </c>
      <c r="G209" s="5">
        <f>+F209/D209</f>
        <v>-0.10392816450545278</v>
      </c>
    </row>
    <row r="210" spans="1:7" ht="12.75">
      <c r="A210" s="20"/>
      <c r="B210" s="21" t="s">
        <v>8</v>
      </c>
      <c r="C210" s="22">
        <v>2009</v>
      </c>
      <c r="D210" s="25">
        <v>368.75</v>
      </c>
      <c r="E210" s="21">
        <v>406.93</v>
      </c>
      <c r="F210" s="25">
        <f t="shared" si="17"/>
        <v>-38.18000000000001</v>
      </c>
      <c r="G210" s="5">
        <f>+F210/D210</f>
        <v>-0.10353898305084748</v>
      </c>
    </row>
    <row r="211" spans="1:7" ht="12.75">
      <c r="A211" s="20"/>
      <c r="B211" s="21" t="s">
        <v>4</v>
      </c>
      <c r="C211" s="22">
        <v>2009</v>
      </c>
      <c r="D211" s="25">
        <v>368.38</v>
      </c>
      <c r="E211" s="21">
        <v>406.93</v>
      </c>
      <c r="F211" s="25">
        <f t="shared" si="17"/>
        <v>-38.55000000000001</v>
      </c>
      <c r="G211" s="5">
        <f>+F211/D211</f>
        <v>-0.10464737499321357</v>
      </c>
    </row>
    <row r="212" spans="1:7" ht="12.75">
      <c r="A212" s="20"/>
      <c r="B212" s="21" t="s">
        <v>7</v>
      </c>
      <c r="C212" s="22">
        <v>2009</v>
      </c>
      <c r="D212" s="25">
        <v>367.49</v>
      </c>
      <c r="E212" s="21">
        <v>406.93</v>
      </c>
      <c r="F212" s="25">
        <f t="shared" si="17"/>
        <v>-39.44</v>
      </c>
      <c r="G212" s="5">
        <f>+F212/D212</f>
        <v>-0.10732264823532613</v>
      </c>
    </row>
    <row r="213" spans="1:7" ht="12.75">
      <c r="A213" s="20"/>
      <c r="B213" s="21" t="s">
        <v>9</v>
      </c>
      <c r="C213" s="22">
        <v>2009</v>
      </c>
      <c r="D213" s="25">
        <v>369.56</v>
      </c>
      <c r="E213" s="21">
        <v>406.93</v>
      </c>
      <c r="F213" s="25">
        <f t="shared" si="17"/>
        <v>-37.370000000000005</v>
      </c>
      <c r="G213" s="5">
        <f aca="true" t="shared" si="18" ref="G213:G220">+F213/D213</f>
        <v>-0.10112025110942743</v>
      </c>
    </row>
    <row r="214" spans="1:7" ht="12.75">
      <c r="A214" s="20"/>
      <c r="B214" s="21" t="s">
        <v>11</v>
      </c>
      <c r="C214" s="22">
        <v>2009</v>
      </c>
      <c r="D214" s="25">
        <v>370.8</v>
      </c>
      <c r="E214" s="21">
        <v>406.93</v>
      </c>
      <c r="F214" s="25">
        <f t="shared" si="17"/>
        <v>-36.129999999999995</v>
      </c>
      <c r="G214" s="5">
        <f t="shared" si="18"/>
        <v>-0.09743797195253505</v>
      </c>
    </row>
    <row r="215" spans="1:7" ht="12.75">
      <c r="A215" s="20"/>
      <c r="B215" s="21" t="s">
        <v>3</v>
      </c>
      <c r="C215" s="22">
        <v>2009</v>
      </c>
      <c r="D215" s="25">
        <v>369.85</v>
      </c>
      <c r="E215" s="21">
        <v>406.93</v>
      </c>
      <c r="F215" s="25">
        <f t="shared" si="17"/>
        <v>-37.079999999999984</v>
      </c>
      <c r="G215" s="5">
        <f t="shared" si="18"/>
        <v>-0.10025686088954977</v>
      </c>
    </row>
    <row r="216" spans="1:7" ht="12.75">
      <c r="A216" s="20"/>
      <c r="B216" s="21" t="s">
        <v>12</v>
      </c>
      <c r="C216" s="22">
        <v>2009</v>
      </c>
      <c r="D216" s="25">
        <v>377.87</v>
      </c>
      <c r="E216" s="21">
        <v>406.93</v>
      </c>
      <c r="F216" s="25">
        <f t="shared" si="17"/>
        <v>-29.060000000000002</v>
      </c>
      <c r="G216" s="5">
        <f t="shared" si="18"/>
        <v>-0.07690475560377909</v>
      </c>
    </row>
    <row r="217" spans="1:7" ht="12.75">
      <c r="A217" s="20"/>
      <c r="B217" s="21" t="s">
        <v>5</v>
      </c>
      <c r="C217" s="22">
        <v>2010</v>
      </c>
      <c r="D217" s="25">
        <v>383.03</v>
      </c>
      <c r="E217" s="25">
        <v>448</v>
      </c>
      <c r="F217" s="25">
        <f t="shared" si="17"/>
        <v>-64.97000000000003</v>
      </c>
      <c r="G217" s="5">
        <f t="shared" si="18"/>
        <v>-0.1696211784977679</v>
      </c>
    </row>
    <row r="218" spans="1:7" ht="12.75">
      <c r="A218" s="20"/>
      <c r="B218" s="21" t="s">
        <v>17</v>
      </c>
      <c r="C218" s="22">
        <v>2010</v>
      </c>
      <c r="D218" s="25">
        <v>383.44</v>
      </c>
      <c r="E218" s="25">
        <v>448</v>
      </c>
      <c r="F218" s="25">
        <f t="shared" si="17"/>
        <v>-64.56</v>
      </c>
      <c r="G218" s="5">
        <f t="shared" si="18"/>
        <v>-0.16837054037137492</v>
      </c>
    </row>
    <row r="219" spans="1:7" ht="12.75">
      <c r="A219" s="20"/>
      <c r="B219" s="21" t="s">
        <v>6</v>
      </c>
      <c r="C219" s="22">
        <v>2010</v>
      </c>
      <c r="D219" s="25">
        <v>382.64</v>
      </c>
      <c r="E219" s="25">
        <v>448</v>
      </c>
      <c r="F219" s="25">
        <f t="shared" si="17"/>
        <v>-65.36000000000001</v>
      </c>
      <c r="G219" s="5">
        <f t="shared" si="18"/>
        <v>-0.1708132970938742</v>
      </c>
    </row>
    <row r="220" spans="1:7" ht="12.75">
      <c r="A220" s="20"/>
      <c r="B220" s="21" t="s">
        <v>16</v>
      </c>
      <c r="C220" s="22">
        <v>2010</v>
      </c>
      <c r="D220" s="25">
        <v>385.64</v>
      </c>
      <c r="E220" s="25">
        <v>448</v>
      </c>
      <c r="F220" s="25">
        <f t="shared" si="17"/>
        <v>-62.360000000000014</v>
      </c>
      <c r="G220" s="5">
        <f t="shared" si="18"/>
        <v>-0.16170521730110987</v>
      </c>
    </row>
    <row r="221" spans="1:7" ht="12.75">
      <c r="A221" s="20"/>
      <c r="B221" s="21" t="s">
        <v>10</v>
      </c>
      <c r="C221" s="22">
        <v>2010</v>
      </c>
      <c r="D221" s="25">
        <v>385.3</v>
      </c>
      <c r="E221" s="25">
        <v>448</v>
      </c>
      <c r="F221" s="25">
        <f>+D221-E221</f>
        <v>-62.69999999999999</v>
      </c>
      <c r="G221" s="5">
        <f>+F221/D221</f>
        <v>-0.1627303399948092</v>
      </c>
    </row>
    <row r="222" spans="1:7" ht="12.75">
      <c r="A222" s="20"/>
      <c r="B222" s="21" t="s">
        <v>8</v>
      </c>
      <c r="C222" s="22">
        <v>2010</v>
      </c>
      <c r="D222" s="25">
        <v>384.67</v>
      </c>
      <c r="E222" s="25">
        <v>448</v>
      </c>
      <c r="F222" s="25">
        <f>+D222-E222</f>
        <v>-63.329999999999984</v>
      </c>
      <c r="G222" s="5">
        <f>+F222/D222</f>
        <v>-0.16463462188369246</v>
      </c>
    </row>
    <row r="223" spans="1:7" ht="12.75">
      <c r="A223" s="20"/>
      <c r="B223" s="21" t="s">
        <v>4</v>
      </c>
      <c r="C223" s="22">
        <v>2010</v>
      </c>
      <c r="D223" s="25">
        <v>384.73</v>
      </c>
      <c r="E223" s="25">
        <v>448</v>
      </c>
      <c r="F223" s="25">
        <f>+D223-E223</f>
        <v>-63.26999999999998</v>
      </c>
      <c r="G223" s="5">
        <v>-0.1644</v>
      </c>
    </row>
    <row r="224" spans="1:7" ht="12.75">
      <c r="A224" s="20"/>
      <c r="B224" s="21" t="s">
        <v>7</v>
      </c>
      <c r="C224" s="22">
        <v>2010</v>
      </c>
      <c r="D224" s="25">
        <v>385.78</v>
      </c>
      <c r="E224" s="25">
        <v>448</v>
      </c>
      <c r="F224" s="25">
        <f>+D224-E224</f>
        <v>-62.22000000000003</v>
      </c>
      <c r="G224" s="5">
        <f>+F224/D224</f>
        <v>-0.16128363315879524</v>
      </c>
    </row>
    <row r="225" spans="1:7" ht="12.75">
      <c r="A225" s="20"/>
      <c r="B225" s="21" t="s">
        <v>9</v>
      </c>
      <c r="C225" s="22">
        <v>2010</v>
      </c>
      <c r="D225" s="25">
        <v>385.28</v>
      </c>
      <c r="E225" s="25">
        <v>448</v>
      </c>
      <c r="F225" s="25">
        <f>+D225-E225</f>
        <v>-62.72000000000003</v>
      </c>
      <c r="G225" s="5">
        <f>+F225/D225</f>
        <v>-0.1627906976744187</v>
      </c>
    </row>
    <row r="226" spans="1:7" ht="12.75">
      <c r="A226" s="20"/>
      <c r="B226" s="21" t="s">
        <v>11</v>
      </c>
      <c r="C226" s="22">
        <v>2010</v>
      </c>
      <c r="D226" s="25">
        <v>386.32</v>
      </c>
      <c r="E226" s="25">
        <v>448</v>
      </c>
      <c r="F226" s="25">
        <f aca="true" t="shared" si="19" ref="F226:F267">+D226-E226</f>
        <v>-61.68000000000001</v>
      </c>
      <c r="G226" s="5">
        <f>+F226/D226</f>
        <v>-0.15966038517291367</v>
      </c>
    </row>
    <row r="227" spans="1:7" ht="12.75">
      <c r="A227" s="20"/>
      <c r="B227" s="21" t="s">
        <v>3</v>
      </c>
      <c r="C227" s="22">
        <v>2010</v>
      </c>
      <c r="D227" s="25">
        <v>387.35</v>
      </c>
      <c r="E227" s="25">
        <v>448</v>
      </c>
      <c r="F227" s="25">
        <f t="shared" si="19"/>
        <v>-60.64999999999998</v>
      </c>
      <c r="G227" s="5">
        <f>+F227/D227</f>
        <v>-0.15657673938298688</v>
      </c>
    </row>
    <row r="228" spans="1:7" ht="12.75">
      <c r="A228" s="20"/>
      <c r="B228" s="21" t="s">
        <v>12</v>
      </c>
      <c r="C228" s="22">
        <v>2010</v>
      </c>
      <c r="D228" s="25">
        <v>390.1</v>
      </c>
      <c r="E228" s="25">
        <v>448</v>
      </c>
      <c r="F228" s="25">
        <f t="shared" si="19"/>
        <v>-57.89999999999998</v>
      </c>
      <c r="G228" s="5">
        <f>+F228/D228</f>
        <v>-0.1484234811586772</v>
      </c>
    </row>
    <row r="229" spans="1:7" ht="12.75">
      <c r="A229" s="20"/>
      <c r="B229" s="21" t="s">
        <v>5</v>
      </c>
      <c r="C229" s="22">
        <v>2011</v>
      </c>
      <c r="D229" s="25">
        <v>393.4</v>
      </c>
      <c r="E229" s="25">
        <v>492.8</v>
      </c>
      <c r="F229" s="25">
        <f t="shared" si="19"/>
        <v>-99.40000000000003</v>
      </c>
      <c r="G229" s="5">
        <f aca="true" t="shared" si="20" ref="G229:G236">+F229/D229</f>
        <v>-0.25266903914590755</v>
      </c>
    </row>
    <row r="230" spans="1:7" ht="12.75">
      <c r="A230" s="20"/>
      <c r="B230" s="21" t="s">
        <v>17</v>
      </c>
      <c r="C230" s="22">
        <v>2011</v>
      </c>
      <c r="D230" s="25">
        <v>395.04</v>
      </c>
      <c r="E230" s="25">
        <v>492.8</v>
      </c>
      <c r="F230" s="25">
        <f t="shared" si="19"/>
        <v>-97.75999999999999</v>
      </c>
      <c r="G230" s="5">
        <f t="shared" si="20"/>
        <v>-0.2474686107735925</v>
      </c>
    </row>
    <row r="231" spans="1:7" ht="12.75">
      <c r="A231" s="20"/>
      <c r="B231" s="21" t="s">
        <v>6</v>
      </c>
      <c r="C231" s="22">
        <v>2011</v>
      </c>
      <c r="D231" s="25">
        <v>396.04</v>
      </c>
      <c r="E231" s="25">
        <v>492.8</v>
      </c>
      <c r="F231" s="25">
        <f t="shared" si="19"/>
        <v>-96.75999999999999</v>
      </c>
      <c r="G231" s="5">
        <f t="shared" si="20"/>
        <v>-0.24431875568124428</v>
      </c>
    </row>
    <row r="232" spans="1:7" ht="12.75">
      <c r="A232" s="20"/>
      <c r="B232" s="21" t="s">
        <v>16</v>
      </c>
      <c r="C232" s="22">
        <v>2011</v>
      </c>
      <c r="D232" s="25">
        <v>398.85</v>
      </c>
      <c r="E232" s="25">
        <v>492.8</v>
      </c>
      <c r="F232" s="25">
        <f t="shared" si="19"/>
        <v>-93.94999999999999</v>
      </c>
      <c r="G232" s="5">
        <f t="shared" si="20"/>
        <v>-0.23555221261125733</v>
      </c>
    </row>
    <row r="233" spans="1:7" ht="12.75">
      <c r="A233" s="20"/>
      <c r="B233" s="21" t="s">
        <v>10</v>
      </c>
      <c r="C233" s="22">
        <v>2011</v>
      </c>
      <c r="D233" s="25">
        <v>401.03</v>
      </c>
      <c r="E233" s="25">
        <v>492.8</v>
      </c>
      <c r="F233" s="25">
        <f t="shared" si="19"/>
        <v>-91.77000000000004</v>
      </c>
      <c r="G233" s="5">
        <f t="shared" si="20"/>
        <v>-0.22883574794903136</v>
      </c>
    </row>
    <row r="234" spans="1:7" ht="12.75">
      <c r="A234" s="20"/>
      <c r="B234" s="21" t="s">
        <v>8</v>
      </c>
      <c r="C234" s="22">
        <v>2011</v>
      </c>
      <c r="D234" s="25">
        <v>400.81</v>
      </c>
      <c r="E234" s="25">
        <v>492.8</v>
      </c>
      <c r="F234" s="25">
        <f t="shared" si="19"/>
        <v>-91.99000000000001</v>
      </c>
      <c r="G234" s="5">
        <f t="shared" si="20"/>
        <v>-0.22951024176043514</v>
      </c>
    </row>
    <row r="235" spans="1:7" ht="12.75">
      <c r="A235" s="20"/>
      <c r="B235" s="21" t="s">
        <v>4</v>
      </c>
      <c r="C235" s="22">
        <v>2011</v>
      </c>
      <c r="D235" s="25">
        <v>403.2</v>
      </c>
      <c r="E235" s="25">
        <v>492.8</v>
      </c>
      <c r="F235" s="25">
        <f t="shared" si="19"/>
        <v>-89.60000000000002</v>
      </c>
      <c r="G235" s="5">
        <f t="shared" si="20"/>
        <v>-0.2222222222222223</v>
      </c>
    </row>
    <row r="236" spans="1:7" ht="12.75">
      <c r="A236" s="20"/>
      <c r="B236" s="21" t="s">
        <v>7</v>
      </c>
      <c r="C236" s="22">
        <v>2011</v>
      </c>
      <c r="D236" s="25">
        <v>407.49</v>
      </c>
      <c r="E236" s="25">
        <v>492.8</v>
      </c>
      <c r="F236" s="25">
        <f t="shared" si="19"/>
        <v>-85.31</v>
      </c>
      <c r="G236" s="5">
        <f t="shared" si="20"/>
        <v>-0.2093548307933937</v>
      </c>
    </row>
    <row r="237" spans="1:7" ht="12.75">
      <c r="A237" s="20"/>
      <c r="B237" s="21" t="s">
        <v>9</v>
      </c>
      <c r="C237" s="22">
        <v>2011</v>
      </c>
      <c r="D237" s="25">
        <v>410.08</v>
      </c>
      <c r="E237" s="25">
        <v>492.8</v>
      </c>
      <c r="F237" s="25">
        <f t="shared" si="19"/>
        <v>-82.72000000000003</v>
      </c>
      <c r="G237" s="5">
        <f>+F237/D237</f>
        <v>-0.20171673819742497</v>
      </c>
    </row>
    <row r="238" spans="1:7" ht="12.75">
      <c r="A238" s="20"/>
      <c r="B238" s="21" t="s">
        <v>11</v>
      </c>
      <c r="C238" s="22">
        <v>2011</v>
      </c>
      <c r="D238" s="25">
        <v>413.51</v>
      </c>
      <c r="E238" s="25">
        <v>492.8</v>
      </c>
      <c r="F238" s="25">
        <f t="shared" si="19"/>
        <v>-79.29000000000002</v>
      </c>
      <c r="G238" s="5">
        <f>+F238/D238</f>
        <v>-0.1917486880607483</v>
      </c>
    </row>
    <row r="239" spans="1:7" ht="12.75">
      <c r="A239" s="20"/>
      <c r="B239" s="21" t="s">
        <v>3</v>
      </c>
      <c r="C239" s="22">
        <v>2011</v>
      </c>
      <c r="D239" s="25">
        <v>411.24</v>
      </c>
      <c r="E239" s="25">
        <v>492.8</v>
      </c>
      <c r="F239" s="25">
        <f t="shared" si="19"/>
        <v>-81.56</v>
      </c>
      <c r="G239" s="5">
        <f>+F239/D239</f>
        <v>-0.19832701099114872</v>
      </c>
    </row>
    <row r="240" spans="1:7" ht="12.75">
      <c r="A240" s="20"/>
      <c r="B240" s="21" t="s">
        <v>12</v>
      </c>
      <c r="C240" s="22">
        <v>2011</v>
      </c>
      <c r="D240" s="25">
        <v>419.25</v>
      </c>
      <c r="E240" s="25">
        <v>492.8</v>
      </c>
      <c r="F240" s="25">
        <f t="shared" si="19"/>
        <v>-73.55000000000001</v>
      </c>
      <c r="G240" s="5">
        <f>+F240/D240</f>
        <v>-0.17543231961836617</v>
      </c>
    </row>
    <row r="241" spans="1:7" ht="12.75">
      <c r="A241" s="20"/>
      <c r="B241" s="21" t="s">
        <v>5</v>
      </c>
      <c r="C241" s="22">
        <v>2012</v>
      </c>
      <c r="D241" s="25">
        <v>421.07</v>
      </c>
      <c r="E241" s="25">
        <v>545.07</v>
      </c>
      <c r="F241" s="25">
        <f t="shared" si="19"/>
        <v>-124.00000000000006</v>
      </c>
      <c r="G241" s="5">
        <f>+F241/D241</f>
        <v>-0.29448785237608965</v>
      </c>
    </row>
    <row r="242" spans="1:7" ht="12.75">
      <c r="A242" s="20"/>
      <c r="B242" s="21" t="s">
        <v>17</v>
      </c>
      <c r="C242" s="22">
        <v>2012</v>
      </c>
      <c r="D242" s="25">
        <v>418.82</v>
      </c>
      <c r="E242" s="25">
        <v>545.07</v>
      </c>
      <c r="F242" s="25">
        <f t="shared" si="19"/>
        <v>-126.25000000000006</v>
      </c>
      <c r="G242" s="5">
        <f aca="true" t="shared" si="21" ref="G242:G255">+F242/D242</f>
        <v>-0.3014421469843848</v>
      </c>
    </row>
    <row r="243" spans="1:7" ht="12.75">
      <c r="A243" s="20"/>
      <c r="B243" s="21" t="s">
        <v>6</v>
      </c>
      <c r="C243" s="22">
        <v>2012</v>
      </c>
      <c r="D243" s="25">
        <v>422.5</v>
      </c>
      <c r="E243" s="25">
        <v>545.07</v>
      </c>
      <c r="F243" s="25">
        <f t="shared" si="19"/>
        <v>-122.57000000000005</v>
      </c>
      <c r="G243" s="5">
        <f t="shared" si="21"/>
        <v>-0.29010650887573974</v>
      </c>
    </row>
    <row r="244" spans="1:7" ht="12.75">
      <c r="A244" s="20"/>
      <c r="B244" s="21" t="s">
        <v>16</v>
      </c>
      <c r="C244" s="22">
        <v>2012</v>
      </c>
      <c r="D244" s="25">
        <v>424.77</v>
      </c>
      <c r="E244" s="25">
        <v>545.07</v>
      </c>
      <c r="F244" s="25">
        <f t="shared" si="19"/>
        <v>-120.30000000000007</v>
      </c>
      <c r="G244" s="5">
        <f t="shared" si="21"/>
        <v>-0.2832120912493822</v>
      </c>
    </row>
    <row r="245" spans="1:7" ht="12.75">
      <c r="A245" s="20"/>
      <c r="B245" s="21" t="s">
        <v>10</v>
      </c>
      <c r="C245" s="22">
        <v>2012</v>
      </c>
      <c r="D245" s="25">
        <v>423.36</v>
      </c>
      <c r="E245" s="25">
        <v>545.07</v>
      </c>
      <c r="F245" s="25">
        <f t="shared" si="19"/>
        <v>-121.71000000000004</v>
      </c>
      <c r="G245" s="5">
        <f t="shared" si="21"/>
        <v>-0.2874858276643992</v>
      </c>
    </row>
    <row r="246" spans="1:7" ht="12.75">
      <c r="A246" s="20"/>
      <c r="B246" s="21" t="s">
        <v>8</v>
      </c>
      <c r="C246" s="22">
        <v>2012</v>
      </c>
      <c r="D246" s="25">
        <v>426.42</v>
      </c>
      <c r="E246" s="25">
        <v>545.07</v>
      </c>
      <c r="F246" s="25">
        <f t="shared" si="19"/>
        <v>-118.65000000000003</v>
      </c>
      <c r="G246" s="5">
        <f t="shared" si="21"/>
        <v>-0.27824679893063187</v>
      </c>
    </row>
    <row r="247" spans="1:7" ht="12.75">
      <c r="A247" s="20"/>
      <c r="B247" s="21" t="s">
        <v>4</v>
      </c>
      <c r="C247" s="22">
        <v>2012</v>
      </c>
      <c r="D247" s="25">
        <v>424.4</v>
      </c>
      <c r="E247" s="25">
        <v>545.07</v>
      </c>
      <c r="F247" s="25">
        <f t="shared" si="19"/>
        <v>-120.67000000000007</v>
      </c>
      <c r="G247" s="5">
        <f t="shared" si="21"/>
        <v>-0.28433081998115006</v>
      </c>
    </row>
    <row r="248" spans="1:7" ht="12.75">
      <c r="A248" s="20"/>
      <c r="B248" s="21" t="s">
        <v>7</v>
      </c>
      <c r="C248" s="22">
        <v>2012</v>
      </c>
      <c r="D248" s="25">
        <v>426.46</v>
      </c>
      <c r="E248" s="25">
        <v>545.07</v>
      </c>
      <c r="F248" s="25">
        <f t="shared" si="19"/>
        <v>-118.61000000000007</v>
      </c>
      <c r="G248" s="5">
        <f t="shared" si="21"/>
        <v>-0.278126905219716</v>
      </c>
    </row>
    <row r="249" spans="1:7" ht="12.75">
      <c r="A249" s="20"/>
      <c r="B249" s="21" t="s">
        <v>9</v>
      </c>
      <c r="C249" s="22">
        <v>2012</v>
      </c>
      <c r="D249" s="25">
        <v>432.71</v>
      </c>
      <c r="E249" s="25">
        <v>545.07</v>
      </c>
      <c r="F249" s="25">
        <f t="shared" si="19"/>
        <v>-112.36000000000007</v>
      </c>
      <c r="G249" s="5">
        <f t="shared" si="21"/>
        <v>-0.2596658269972963</v>
      </c>
    </row>
    <row r="250" spans="1:7" ht="12.75">
      <c r="A250" s="20"/>
      <c r="B250" s="21" t="s">
        <v>11</v>
      </c>
      <c r="C250" s="22">
        <v>2012</v>
      </c>
      <c r="D250" s="25">
        <v>434.7</v>
      </c>
      <c r="E250" s="25">
        <v>545.07</v>
      </c>
      <c r="F250" s="25">
        <f t="shared" si="19"/>
        <v>-110.37000000000006</v>
      </c>
      <c r="G250" s="5">
        <f t="shared" si="21"/>
        <v>-0.25389924085576276</v>
      </c>
    </row>
    <row r="251" spans="1:7" ht="12.75">
      <c r="A251" s="20"/>
      <c r="B251" s="21" t="s">
        <v>3</v>
      </c>
      <c r="C251" s="22">
        <v>2012</v>
      </c>
      <c r="D251" s="25">
        <v>434.04</v>
      </c>
      <c r="E251" s="25">
        <v>545.07</v>
      </c>
      <c r="F251" s="25">
        <f t="shared" si="19"/>
        <v>-111.03000000000003</v>
      </c>
      <c r="G251" s="5">
        <f t="shared" si="21"/>
        <v>-0.25580591650539125</v>
      </c>
    </row>
    <row r="252" spans="1:7" ht="12.75">
      <c r="A252" s="20"/>
      <c r="B252" s="21" t="s">
        <v>12</v>
      </c>
      <c r="C252" s="22">
        <v>2012</v>
      </c>
      <c r="D252" s="25">
        <v>431.32</v>
      </c>
      <c r="E252" s="25">
        <v>545.07</v>
      </c>
      <c r="F252" s="25">
        <f t="shared" si="19"/>
        <v>-113.75000000000006</v>
      </c>
      <c r="G252" s="5">
        <f t="shared" si="21"/>
        <v>-0.2637253083557453</v>
      </c>
    </row>
    <row r="253" spans="1:7" ht="12.75">
      <c r="A253" s="20"/>
      <c r="B253" s="21" t="s">
        <v>5</v>
      </c>
      <c r="C253" s="22">
        <v>2013</v>
      </c>
      <c r="D253" s="25">
        <v>435.47</v>
      </c>
      <c r="E253" s="25">
        <v>593.6</v>
      </c>
      <c r="F253" s="25">
        <f t="shared" si="19"/>
        <v>-158.13</v>
      </c>
      <c r="G253" s="5">
        <f t="shared" si="21"/>
        <v>-0.363124899533837</v>
      </c>
    </row>
    <row r="254" spans="1:7" ht="12.75">
      <c r="A254" s="20"/>
      <c r="B254" s="21" t="s">
        <v>17</v>
      </c>
      <c r="C254" s="22">
        <v>2013</v>
      </c>
      <c r="D254" s="25">
        <v>436.27</v>
      </c>
      <c r="E254" s="25">
        <v>593.6</v>
      </c>
      <c r="F254" s="25">
        <f t="shared" si="19"/>
        <v>-157.33000000000004</v>
      </c>
      <c r="G254" s="5">
        <f t="shared" si="21"/>
        <v>-0.36062530084580663</v>
      </c>
    </row>
    <row r="255" spans="1:7" ht="12.75">
      <c r="A255" s="20"/>
      <c r="B255" s="21" t="s">
        <v>6</v>
      </c>
      <c r="C255" s="22">
        <v>2013</v>
      </c>
      <c r="D255" s="25">
        <v>436.27</v>
      </c>
      <c r="E255" s="25">
        <v>593.6</v>
      </c>
      <c r="F255" s="25">
        <f t="shared" si="19"/>
        <v>-157.33000000000004</v>
      </c>
      <c r="G255" s="5">
        <f t="shared" si="21"/>
        <v>-0.36062530084580663</v>
      </c>
    </row>
    <row r="256" spans="1:7" ht="12.75">
      <c r="A256" s="20"/>
      <c r="B256" s="21" t="s">
        <v>16</v>
      </c>
      <c r="C256" s="22">
        <v>2013</v>
      </c>
      <c r="D256" s="25">
        <v>437.87</v>
      </c>
      <c r="E256" s="25">
        <v>593.6</v>
      </c>
      <c r="F256" s="25">
        <f t="shared" si="19"/>
        <v>-155.73000000000002</v>
      </c>
      <c r="G256" s="5">
        <f>+F256/D256</f>
        <v>-0.35565350446479554</v>
      </c>
    </row>
    <row r="257" spans="1:7" ht="12.75">
      <c r="A257" s="20"/>
      <c r="B257" s="21" t="s">
        <v>10</v>
      </c>
      <c r="C257" s="22">
        <v>2013</v>
      </c>
      <c r="D257" s="25">
        <v>436.97</v>
      </c>
      <c r="E257" s="25">
        <v>593.6</v>
      </c>
      <c r="F257" s="25">
        <f t="shared" si="19"/>
        <v>-156.63</v>
      </c>
      <c r="G257" s="5">
        <v>-0.3585</v>
      </c>
    </row>
    <row r="258" spans="1:7" ht="12.75">
      <c r="A258" s="20"/>
      <c r="B258" s="21" t="s">
        <v>8</v>
      </c>
      <c r="C258" s="22">
        <v>2013</v>
      </c>
      <c r="D258" s="25">
        <v>435.7</v>
      </c>
      <c r="E258" s="25">
        <v>593.6</v>
      </c>
      <c r="F258" s="25">
        <f t="shared" si="19"/>
        <v>-157.90000000000003</v>
      </c>
      <c r="G258" s="5">
        <f>+F258/D258</f>
        <v>-0.36240532476474646</v>
      </c>
    </row>
    <row r="259" spans="1:7" ht="12.75">
      <c r="A259" s="20"/>
      <c r="B259" s="21" t="s">
        <v>4</v>
      </c>
      <c r="C259" s="22">
        <v>2013</v>
      </c>
      <c r="D259" s="25">
        <v>436.33</v>
      </c>
      <c r="E259" s="25">
        <v>593.6</v>
      </c>
      <c r="F259" s="25">
        <f t="shared" si="19"/>
        <v>-157.27000000000004</v>
      </c>
      <c r="G259" s="5">
        <f>+F259/D259</f>
        <v>-0.3604382004446177</v>
      </c>
    </row>
    <row r="260" spans="1:7" ht="12.75">
      <c r="A260" s="20"/>
      <c r="B260" s="21" t="s">
        <v>7</v>
      </c>
      <c r="C260" s="22">
        <v>2013</v>
      </c>
      <c r="D260" s="25">
        <v>437.18</v>
      </c>
      <c r="E260" s="25">
        <v>593.6</v>
      </c>
      <c r="F260" s="25">
        <f t="shared" si="19"/>
        <v>-156.42000000000002</v>
      </c>
      <c r="G260" s="5">
        <f>+F260/D260</f>
        <v>-0.3577931286884121</v>
      </c>
    </row>
    <row r="261" spans="1:7" ht="12.75">
      <c r="A261" s="20"/>
      <c r="B261" s="21" t="s">
        <v>9</v>
      </c>
      <c r="C261" s="22">
        <v>2013</v>
      </c>
      <c r="D261" s="25">
        <v>436.56</v>
      </c>
      <c r="E261" s="25">
        <v>593.6</v>
      </c>
      <c r="F261" s="25">
        <f t="shared" si="19"/>
        <v>-157.04000000000002</v>
      </c>
      <c r="G261" s="5">
        <f>+F261/D261</f>
        <v>-0.3597214586769288</v>
      </c>
    </row>
    <row r="262" spans="1:7" ht="12.75">
      <c r="A262" s="20"/>
      <c r="B262" s="21" t="s">
        <v>11</v>
      </c>
      <c r="C262" s="22">
        <v>2013</v>
      </c>
      <c r="D262" s="25">
        <v>439.1</v>
      </c>
      <c r="E262" s="25">
        <v>593.6</v>
      </c>
      <c r="F262" s="25">
        <f t="shared" si="19"/>
        <v>-154.5</v>
      </c>
      <c r="G262" s="5">
        <f>+F262/D262</f>
        <v>-0.35185606923252105</v>
      </c>
    </row>
    <row r="263" spans="1:7" ht="12.75">
      <c r="A263" s="20"/>
      <c r="B263" s="21" t="s">
        <v>3</v>
      </c>
      <c r="C263" s="22">
        <v>2013</v>
      </c>
      <c r="D263" s="25">
        <v>442.11</v>
      </c>
      <c r="E263" s="25">
        <v>593.6</v>
      </c>
      <c r="F263" s="25">
        <f t="shared" si="19"/>
        <v>-151.49</v>
      </c>
      <c r="G263" s="5">
        <v>-0.3426</v>
      </c>
    </row>
    <row r="264" spans="1:7" ht="12.75">
      <c r="A264" s="20"/>
      <c r="B264" s="21" t="s">
        <v>12</v>
      </c>
      <c r="C264" s="22">
        <v>2013</v>
      </c>
      <c r="D264" s="25">
        <v>444.78</v>
      </c>
      <c r="E264" s="25">
        <v>593.6</v>
      </c>
      <c r="F264" s="25">
        <f t="shared" si="19"/>
        <v>-148.82000000000005</v>
      </c>
      <c r="G264" s="5">
        <f aca="true" t="shared" si="22" ref="G264:G311">+F264/D264</f>
        <v>-0.3345923827510231</v>
      </c>
    </row>
    <row r="265" spans="1:7" ht="12.75">
      <c r="A265" s="20"/>
      <c r="B265" s="21" t="s">
        <v>5</v>
      </c>
      <c r="C265" s="22">
        <v>2014</v>
      </c>
      <c r="D265" s="25">
        <v>449.54</v>
      </c>
      <c r="E265" s="25">
        <v>634.67</v>
      </c>
      <c r="F265" s="25">
        <f t="shared" si="19"/>
        <v>-185.12999999999994</v>
      </c>
      <c r="G265" s="5">
        <f t="shared" si="22"/>
        <v>-0.41182097254971733</v>
      </c>
    </row>
    <row r="266" spans="1:7" ht="12.75">
      <c r="A266" s="20"/>
      <c r="B266" s="21" t="s">
        <v>17</v>
      </c>
      <c r="C266" s="22">
        <v>2014</v>
      </c>
      <c r="D266" s="25">
        <v>449.54</v>
      </c>
      <c r="E266" s="25">
        <v>634.67</v>
      </c>
      <c r="F266" s="25">
        <f t="shared" si="19"/>
        <v>-185.12999999999994</v>
      </c>
      <c r="G266" s="5">
        <f t="shared" si="22"/>
        <v>-0.41182097254971733</v>
      </c>
    </row>
    <row r="267" spans="1:7" ht="12.75">
      <c r="A267" s="20"/>
      <c r="B267" s="21" t="s">
        <v>6</v>
      </c>
      <c r="C267" s="22">
        <v>2014</v>
      </c>
      <c r="D267" s="25">
        <v>452.74</v>
      </c>
      <c r="E267" s="25">
        <v>634.67</v>
      </c>
      <c r="F267" s="25">
        <f t="shared" si="19"/>
        <v>-181.92999999999995</v>
      </c>
      <c r="G267" s="5">
        <f t="shared" si="22"/>
        <v>-0.40184211688828014</v>
      </c>
    </row>
    <row r="268" spans="1:7" ht="12.75">
      <c r="A268" s="20"/>
      <c r="B268" s="21" t="s">
        <v>16</v>
      </c>
      <c r="C268" s="22">
        <v>2014</v>
      </c>
      <c r="D268" s="25">
        <v>453.66</v>
      </c>
      <c r="E268" s="25">
        <v>634.67</v>
      </c>
      <c r="F268" s="25">
        <f>+D268-E268</f>
        <v>-181.00999999999993</v>
      </c>
      <c r="G268" s="5">
        <f t="shared" si="22"/>
        <v>-0.39899925054005186</v>
      </c>
    </row>
    <row r="269" spans="1:7" ht="12.75">
      <c r="A269" s="20"/>
      <c r="B269" s="21" t="s">
        <v>10</v>
      </c>
      <c r="C269" s="22">
        <v>2014</v>
      </c>
      <c r="D269" s="25">
        <v>454.16</v>
      </c>
      <c r="E269" s="25">
        <v>634.67</v>
      </c>
      <c r="F269" s="25">
        <f>+D269-E269</f>
        <v>-180.50999999999993</v>
      </c>
      <c r="G269" s="5">
        <f t="shared" si="22"/>
        <v>-0.3974590452703891</v>
      </c>
    </row>
    <row r="270" spans="1:8" ht="12.75">
      <c r="A270" s="20"/>
      <c r="B270" s="21" t="s">
        <v>8</v>
      </c>
      <c r="C270" s="22">
        <v>2014</v>
      </c>
      <c r="D270" s="25">
        <v>455.206888429634</v>
      </c>
      <c r="E270" s="25">
        <v>634.669996410738</v>
      </c>
      <c r="F270" s="25">
        <f>+D270-E270</f>
        <v>-179.46310798110403</v>
      </c>
      <c r="G270" s="5">
        <f t="shared" si="22"/>
        <v>-0.39424514993657767</v>
      </c>
      <c r="H270" s="26"/>
    </row>
    <row r="271" spans="1:8" ht="12.75">
      <c r="A271" s="20"/>
      <c r="B271" s="21" t="s">
        <v>4</v>
      </c>
      <c r="C271" s="22">
        <v>2014</v>
      </c>
      <c r="D271" s="25">
        <v>458.016988970818</v>
      </c>
      <c r="E271" s="25">
        <v>634.66999646694</v>
      </c>
      <c r="F271" s="25">
        <f>+D271-E271</f>
        <v>-176.65300749612203</v>
      </c>
      <c r="G271" s="5">
        <f t="shared" si="22"/>
        <v>-0.38569094979002466</v>
      </c>
      <c r="H271" s="26"/>
    </row>
    <row r="272" spans="1:8" ht="12.75">
      <c r="A272" s="20"/>
      <c r="B272" s="21" t="s">
        <v>7</v>
      </c>
      <c r="C272" s="22">
        <v>2014</v>
      </c>
      <c r="D272" s="25">
        <v>457.945326434003</v>
      </c>
      <c r="E272" s="25">
        <v>634.669996465507</v>
      </c>
      <c r="F272" s="25">
        <f aca="true" t="shared" si="23" ref="F272:F281">+D272-E272</f>
        <v>-176.724670031504</v>
      </c>
      <c r="G272" s="5">
        <f t="shared" si="22"/>
        <v>-0.38590779254731133</v>
      </c>
      <c r="H272" s="26"/>
    </row>
    <row r="273" spans="1:8" ht="12.75">
      <c r="A273" s="20"/>
      <c r="B273" s="21" t="s">
        <v>9</v>
      </c>
      <c r="C273" s="22">
        <v>2014</v>
      </c>
      <c r="D273" s="25">
        <v>462.400415305468</v>
      </c>
      <c r="E273" s="25">
        <v>634.669996830882</v>
      </c>
      <c r="F273" s="25">
        <f t="shared" si="23"/>
        <v>-172.26958152541403</v>
      </c>
      <c r="G273" s="5">
        <f t="shared" si="22"/>
        <v>-0.3725549887571152</v>
      </c>
      <c r="H273" s="26"/>
    </row>
    <row r="274" spans="1:8" ht="12.75">
      <c r="A274" s="20"/>
      <c r="B274" s="21" t="s">
        <v>11</v>
      </c>
      <c r="C274" s="22">
        <v>2014</v>
      </c>
      <c r="D274" s="25">
        <v>464.553851760934</v>
      </c>
      <c r="E274" s="25">
        <v>634.669996830882</v>
      </c>
      <c r="F274" s="25">
        <f t="shared" si="23"/>
        <v>-170.11614506994806</v>
      </c>
      <c r="G274" s="5">
        <f t="shared" si="22"/>
        <v>-0.366192518746981</v>
      </c>
      <c r="H274" s="26"/>
    </row>
    <row r="275" spans="1:8" ht="12.75">
      <c r="A275" s="20"/>
      <c r="B275" s="21" t="s">
        <v>3</v>
      </c>
      <c r="C275" s="22">
        <v>2014</v>
      </c>
      <c r="D275" s="25">
        <v>464.383700246712</v>
      </c>
      <c r="E275" s="25">
        <v>634.669996830882</v>
      </c>
      <c r="F275" s="25">
        <f t="shared" si="23"/>
        <v>-170.28629658417003</v>
      </c>
      <c r="G275" s="5">
        <f t="shared" si="22"/>
        <v>-0.36669309558820096</v>
      </c>
      <c r="H275" s="26"/>
    </row>
    <row r="276" spans="1:8" ht="12.75">
      <c r="A276" s="20"/>
      <c r="B276" s="21" t="s">
        <v>12</v>
      </c>
      <c r="C276" s="22">
        <v>2014</v>
      </c>
      <c r="D276" s="25">
        <v>466.587273856018</v>
      </c>
      <c r="E276" s="25">
        <v>634.669996638346</v>
      </c>
      <c r="F276" s="25">
        <f t="shared" si="23"/>
        <v>-168.082722782328</v>
      </c>
      <c r="G276" s="5">
        <f t="shared" si="22"/>
        <v>-0.36023854957131957</v>
      </c>
      <c r="H276" s="26"/>
    </row>
    <row r="277" spans="1:8" ht="12.75">
      <c r="A277" s="20"/>
      <c r="B277" s="21" t="s">
        <v>38</v>
      </c>
      <c r="C277" s="22">
        <v>2015</v>
      </c>
      <c r="D277" s="25">
        <v>476.44497706911056</v>
      </c>
      <c r="E277" s="25">
        <v>660.7999963128995</v>
      </c>
      <c r="F277" s="25">
        <f t="shared" si="23"/>
        <v>-184.3550192437889</v>
      </c>
      <c r="G277" s="5">
        <f t="shared" si="22"/>
        <v>-0.3869387402882565</v>
      </c>
      <c r="H277" s="26"/>
    </row>
    <row r="278" spans="1:8" ht="12.75">
      <c r="A278" s="20"/>
      <c r="B278" s="21" t="s">
        <v>17</v>
      </c>
      <c r="C278" s="22">
        <v>2015</v>
      </c>
      <c r="D278" s="25">
        <v>473.170649665461</v>
      </c>
      <c r="E278" s="25">
        <v>660.799996247413</v>
      </c>
      <c r="F278" s="25">
        <f t="shared" si="23"/>
        <v>-187.629346581952</v>
      </c>
      <c r="G278" s="5">
        <f t="shared" si="22"/>
        <v>-0.3965363166853415</v>
      </c>
      <c r="H278" s="26"/>
    </row>
    <row r="279" spans="1:8" ht="12.75">
      <c r="A279" s="20"/>
      <c r="B279" s="21" t="s">
        <v>6</v>
      </c>
      <c r="C279" s="22">
        <v>2015</v>
      </c>
      <c r="D279" s="25">
        <v>474.68406176176126</v>
      </c>
      <c r="E279" s="25">
        <v>660.7999962776815</v>
      </c>
      <c r="F279" s="25">
        <f t="shared" si="23"/>
        <v>-186.1159345159203</v>
      </c>
      <c r="G279" s="5">
        <f t="shared" si="22"/>
        <v>-0.39208380796515946</v>
      </c>
      <c r="H279" s="26"/>
    </row>
    <row r="280" spans="1:8" ht="12.75">
      <c r="A280" s="20"/>
      <c r="B280" s="21" t="s">
        <v>16</v>
      </c>
      <c r="C280" s="22">
        <v>2015</v>
      </c>
      <c r="D280" s="25">
        <v>475.128648862078</v>
      </c>
      <c r="E280" s="25">
        <v>660.799996286573</v>
      </c>
      <c r="F280" s="25">
        <f t="shared" si="23"/>
        <v>-185.67134742449497</v>
      </c>
      <c r="G280" s="5">
        <f t="shared" si="22"/>
        <v>-0.39078120814051837</v>
      </c>
      <c r="H280" s="26"/>
    </row>
    <row r="281" spans="1:8" ht="12.75">
      <c r="A281" s="20"/>
      <c r="B281" s="21" t="s">
        <v>34</v>
      </c>
      <c r="C281" s="22">
        <v>2015</v>
      </c>
      <c r="D281" s="25">
        <v>479.879607996024</v>
      </c>
      <c r="E281" s="25">
        <v>660.799996381593</v>
      </c>
      <c r="F281" s="25">
        <f t="shared" si="23"/>
        <v>-180.92038838556903</v>
      </c>
      <c r="G281" s="5">
        <f t="shared" si="22"/>
        <v>-0.37701203670873223</v>
      </c>
      <c r="H281" s="26"/>
    </row>
    <row r="282" spans="1:8" ht="12.75">
      <c r="A282" s="20"/>
      <c r="B282" s="21" t="s">
        <v>35</v>
      </c>
      <c r="C282" s="22">
        <v>2015</v>
      </c>
      <c r="D282" s="25">
        <v>480.652396304833</v>
      </c>
      <c r="E282" s="25">
        <v>660.799996397047</v>
      </c>
      <c r="F282" s="25">
        <f>+D282-E282</f>
        <v>-180.14760009221402</v>
      </c>
      <c r="G282" s="5">
        <f t="shared" si="22"/>
        <v>-0.3747980900067399</v>
      </c>
      <c r="H282" s="26"/>
    </row>
    <row r="283" spans="1:8" ht="12.75">
      <c r="A283" s="20"/>
      <c r="B283" s="21" t="s">
        <v>39</v>
      </c>
      <c r="C283" s="22">
        <v>2015</v>
      </c>
      <c r="D283" s="25">
        <v>482.384208701913</v>
      </c>
      <c r="E283" s="25">
        <v>660.799996431684</v>
      </c>
      <c r="F283" s="25">
        <f>+D283-E283</f>
        <v>-178.415787729771</v>
      </c>
      <c r="G283" s="5">
        <f t="shared" si="22"/>
        <v>-0.36986241363473443</v>
      </c>
      <c r="H283" s="26"/>
    </row>
    <row r="284" spans="1:8" ht="12.75">
      <c r="A284" s="20"/>
      <c r="B284" s="21" t="s">
        <v>7</v>
      </c>
      <c r="C284" s="22">
        <v>2015</v>
      </c>
      <c r="D284" s="25">
        <v>482.504430347532</v>
      </c>
      <c r="E284" s="25">
        <v>660.7999964340885</v>
      </c>
      <c r="F284" s="25">
        <f aca="true" t="shared" si="24" ref="F284:F309">+D284-E284</f>
        <v>-178.2955660865565</v>
      </c>
      <c r="G284" s="5">
        <f t="shared" si="22"/>
        <v>-0.36952109633094166</v>
      </c>
      <c r="H284" s="26"/>
    </row>
    <row r="285" spans="1:8" ht="12.75">
      <c r="A285" s="20"/>
      <c r="B285" s="21" t="s">
        <v>9</v>
      </c>
      <c r="C285" s="22">
        <v>2015</v>
      </c>
      <c r="D285" s="25">
        <v>489.35175358773984</v>
      </c>
      <c r="E285" s="25">
        <v>660.7999965710358</v>
      </c>
      <c r="F285" s="25">
        <f t="shared" si="24"/>
        <v>-171.44824298329593</v>
      </c>
      <c r="G285" s="5">
        <f t="shared" si="22"/>
        <v>-0.350357880044984</v>
      </c>
      <c r="H285" s="26"/>
    </row>
    <row r="286" spans="1:8" ht="12.75">
      <c r="A286" s="20"/>
      <c r="B286" s="21" t="s">
        <v>11</v>
      </c>
      <c r="C286" s="22">
        <v>2015</v>
      </c>
      <c r="D286" s="25">
        <v>486.06244732388785</v>
      </c>
      <c r="E286" s="25">
        <v>660.7999965052488</v>
      </c>
      <c r="F286" s="25">
        <f t="shared" si="24"/>
        <v>-174.73754918136098</v>
      </c>
      <c r="G286" s="5">
        <f t="shared" si="22"/>
        <v>-0.359496089737878</v>
      </c>
      <c r="H286" s="26"/>
    </row>
    <row r="287" spans="1:8" ht="12.75">
      <c r="A287" s="20"/>
      <c r="B287" s="21" t="s">
        <v>3</v>
      </c>
      <c r="C287" s="22">
        <v>2015</v>
      </c>
      <c r="D287" s="25">
        <v>484.05874405478386</v>
      </c>
      <c r="E287" s="25">
        <v>660.7999964651751</v>
      </c>
      <c r="F287" s="25">
        <f t="shared" si="24"/>
        <v>-176.74125241039127</v>
      </c>
      <c r="G287" s="5">
        <f t="shared" si="22"/>
        <v>-0.36512356109899835</v>
      </c>
      <c r="H287" s="26"/>
    </row>
    <row r="288" spans="1:8" ht="12.75">
      <c r="A288" s="20"/>
      <c r="B288" s="21" t="s">
        <v>12</v>
      </c>
      <c r="C288" s="22">
        <v>2015</v>
      </c>
      <c r="D288" s="25">
        <v>485.2433457635133</v>
      </c>
      <c r="E288" s="25">
        <v>660.799996488867</v>
      </c>
      <c r="F288" s="25">
        <f t="shared" si="24"/>
        <v>-175.55665072535373</v>
      </c>
      <c r="G288" s="5">
        <f t="shared" si="22"/>
        <v>-0.3617909493413486</v>
      </c>
      <c r="H288" s="26"/>
    </row>
    <row r="289" spans="1:8" ht="12.75">
      <c r="A289" s="20"/>
      <c r="B289" s="21" t="s">
        <v>5</v>
      </c>
      <c r="C289" s="22">
        <v>2016</v>
      </c>
      <c r="D289" s="25">
        <v>487.648344539468</v>
      </c>
      <c r="E289" s="25">
        <v>683.1999960889666</v>
      </c>
      <c r="F289" s="25">
        <f t="shared" si="24"/>
        <v>-195.55165154949862</v>
      </c>
      <c r="G289" s="5">
        <f t="shared" si="22"/>
        <v>-0.4010095671178303</v>
      </c>
      <c r="H289" s="26"/>
    </row>
    <row r="290" spans="1:8" ht="12.75">
      <c r="A290" s="20"/>
      <c r="B290" s="21" t="s">
        <v>17</v>
      </c>
      <c r="C290" s="22">
        <v>2016</v>
      </c>
      <c r="D290" s="25">
        <v>491.46001597755173</v>
      </c>
      <c r="E290" s="25">
        <v>683.1999960889666</v>
      </c>
      <c r="F290" s="25">
        <f>+D290-E290</f>
        <v>-191.73998011141487</v>
      </c>
      <c r="G290" s="5">
        <f t="shared" si="22"/>
        <v>-0.39014360045146157</v>
      </c>
      <c r="H290" s="26"/>
    </row>
    <row r="291" spans="1:10" ht="12.75">
      <c r="A291" s="27"/>
      <c r="B291" s="21" t="s">
        <v>6</v>
      </c>
      <c r="C291" s="22">
        <v>2016</v>
      </c>
      <c r="D291" s="28">
        <v>492.2553933614207</v>
      </c>
      <c r="E291" s="28">
        <v>683.1999961811084</v>
      </c>
      <c r="F291" s="28">
        <f t="shared" si="24"/>
        <v>-190.9446028196877</v>
      </c>
      <c r="G291" s="5">
        <f t="shared" si="22"/>
        <v>-0.38789743168846</v>
      </c>
      <c r="H291" s="26"/>
      <c r="I291" s="26"/>
      <c r="J291" s="29"/>
    </row>
    <row r="292" spans="1:10" ht="12.75">
      <c r="A292" s="27"/>
      <c r="B292" s="21" t="s">
        <v>16</v>
      </c>
      <c r="C292" s="22">
        <v>2016</v>
      </c>
      <c r="D292" s="28">
        <v>494.57130164713413</v>
      </c>
      <c r="E292" s="28">
        <v>683.1999962274264</v>
      </c>
      <c r="F292" s="28">
        <f t="shared" si="24"/>
        <v>-188.62869458029223</v>
      </c>
      <c r="G292" s="5">
        <f t="shared" si="22"/>
        <v>-0.3813983827045321</v>
      </c>
      <c r="H292" s="26"/>
      <c r="I292" s="26"/>
      <c r="J292" s="29"/>
    </row>
    <row r="293" spans="1:10" ht="12.75">
      <c r="A293" s="27"/>
      <c r="B293" s="21" t="s">
        <v>10</v>
      </c>
      <c r="C293" s="22">
        <v>2016</v>
      </c>
      <c r="D293" s="28">
        <v>496.0604523838518</v>
      </c>
      <c r="E293" s="28">
        <v>683.199996257209</v>
      </c>
      <c r="F293" s="28">
        <f t="shared" si="24"/>
        <v>-187.13954387335724</v>
      </c>
      <c r="G293" s="5">
        <f t="shared" si="22"/>
        <v>-0.37725148814836096</v>
      </c>
      <c r="H293" s="26"/>
      <c r="I293" s="26"/>
      <c r="J293" s="29"/>
    </row>
    <row r="294" spans="1:10" ht="12.75">
      <c r="A294" s="27"/>
      <c r="B294" s="21" t="s">
        <v>8</v>
      </c>
      <c r="C294" s="22">
        <v>2016</v>
      </c>
      <c r="D294" s="28">
        <v>496.464272620139</v>
      </c>
      <c r="E294" s="28">
        <v>683.1999962652858</v>
      </c>
      <c r="F294" s="28">
        <f t="shared" si="24"/>
        <v>-186.73572364514678</v>
      </c>
      <c r="G294" s="5">
        <f t="shared" si="22"/>
        <v>-0.37613124235432016</v>
      </c>
      <c r="H294" s="26"/>
      <c r="I294" s="26"/>
      <c r="J294" s="29"/>
    </row>
    <row r="295" spans="1:10" ht="12.75">
      <c r="A295" s="27"/>
      <c r="B295" s="21" t="s">
        <v>4</v>
      </c>
      <c r="C295" s="22">
        <v>2016</v>
      </c>
      <c r="D295" s="28">
        <v>494.3451462621169</v>
      </c>
      <c r="E295" s="28">
        <v>683.1999962229035</v>
      </c>
      <c r="F295" s="28">
        <f t="shared" si="24"/>
        <v>-188.85484996078657</v>
      </c>
      <c r="G295" s="5">
        <f t="shared" si="22"/>
        <v>-0.3820303514432606</v>
      </c>
      <c r="H295" s="26"/>
      <c r="I295" s="26"/>
      <c r="J295" s="29"/>
    </row>
    <row r="296" spans="1:10" ht="12.75">
      <c r="A296" s="30"/>
      <c r="B296" s="21" t="s">
        <v>7</v>
      </c>
      <c r="C296" s="22">
        <v>2016</v>
      </c>
      <c r="D296" s="28">
        <v>495.3075032796568</v>
      </c>
      <c r="E296" s="28">
        <v>683.1999962421495</v>
      </c>
      <c r="F296" s="28">
        <f t="shared" si="24"/>
        <v>-187.89249296249267</v>
      </c>
      <c r="G296" s="5">
        <f t="shared" si="22"/>
        <v>-0.37934513755267346</v>
      </c>
      <c r="H296" s="26"/>
      <c r="I296" s="26"/>
      <c r="J296" s="29"/>
    </row>
    <row r="297" spans="1:10" ht="12.75">
      <c r="A297" s="27"/>
      <c r="B297" s="21" t="s">
        <v>9</v>
      </c>
      <c r="C297" s="22">
        <v>2016</v>
      </c>
      <c r="D297" s="28">
        <v>497.11711443901686</v>
      </c>
      <c r="E297" s="28">
        <v>683.1999962783417</v>
      </c>
      <c r="F297" s="28">
        <f t="shared" si="24"/>
        <v>-186.08288183932484</v>
      </c>
      <c r="G297" s="5">
        <f t="shared" si="22"/>
        <v>-0.3743240303631757</v>
      </c>
      <c r="H297" s="26"/>
      <c r="I297" s="26"/>
      <c r="J297" s="29"/>
    </row>
    <row r="298" spans="1:11" ht="12.75">
      <c r="A298" s="27"/>
      <c r="B298" s="21" t="s">
        <v>11</v>
      </c>
      <c r="C298" s="22">
        <v>2016</v>
      </c>
      <c r="D298" s="28">
        <v>496.5262360311013</v>
      </c>
      <c r="E298" s="28">
        <v>683.1999962665242</v>
      </c>
      <c r="F298" s="28">
        <f t="shared" si="24"/>
        <v>-186.6737602354229</v>
      </c>
      <c r="G298" s="5">
        <f t="shared" si="22"/>
        <v>-0.37595950966774305</v>
      </c>
      <c r="H298" s="7"/>
      <c r="I298" s="26"/>
      <c r="J298" s="29"/>
      <c r="K298" s="29"/>
    </row>
    <row r="299" spans="1:10" ht="12.75">
      <c r="A299" s="27"/>
      <c r="B299" s="21" t="s">
        <v>3</v>
      </c>
      <c r="C299" s="22">
        <v>2016</v>
      </c>
      <c r="D299" s="28">
        <v>497.345202851182</v>
      </c>
      <c r="E299" s="28">
        <v>683.1999962829041</v>
      </c>
      <c r="F299" s="28">
        <f t="shared" si="24"/>
        <v>-185.85479343172204</v>
      </c>
      <c r="G299" s="5">
        <f t="shared" si="22"/>
        <v>-0.37369374906252867</v>
      </c>
      <c r="H299" s="7"/>
      <c r="I299" s="26"/>
      <c r="J299" s="29"/>
    </row>
    <row r="300" spans="1:9" ht="12.75">
      <c r="A300" s="27"/>
      <c r="B300" s="21" t="s">
        <v>12</v>
      </c>
      <c r="C300" s="22">
        <v>2016</v>
      </c>
      <c r="D300" s="28">
        <v>506.89997592045023</v>
      </c>
      <c r="E300" s="28">
        <v>683.199996473999</v>
      </c>
      <c r="F300" s="28">
        <f t="shared" si="24"/>
        <v>-176.3000205535488</v>
      </c>
      <c r="G300" s="5">
        <f t="shared" si="22"/>
        <v>-0.34780041216892116</v>
      </c>
      <c r="H300" s="7"/>
      <c r="I300" s="26"/>
    </row>
    <row r="301" spans="1:10" ht="12.75">
      <c r="A301" s="27"/>
      <c r="B301" s="21" t="s">
        <v>5</v>
      </c>
      <c r="C301" s="22">
        <v>2017</v>
      </c>
      <c r="D301" s="28">
        <v>503.27039564685424</v>
      </c>
      <c r="E301" s="28">
        <v>699.9999960654079</v>
      </c>
      <c r="F301" s="28">
        <f t="shared" si="24"/>
        <v>-196.72960041855367</v>
      </c>
      <c r="G301" s="5">
        <f t="shared" si="22"/>
        <v>-0.3909023898886339</v>
      </c>
      <c r="H301" s="7"/>
      <c r="I301" s="26"/>
      <c r="J301" s="29"/>
    </row>
    <row r="302" spans="1:10" ht="12.75">
      <c r="A302" s="27"/>
      <c r="B302" s="21" t="s">
        <v>17</v>
      </c>
      <c r="C302" s="22">
        <v>2017</v>
      </c>
      <c r="D302" s="28">
        <v>510.1912547273312</v>
      </c>
      <c r="E302" s="28">
        <v>699.9999962038252</v>
      </c>
      <c r="F302" s="28">
        <f t="shared" si="24"/>
        <v>-189.80874147649394</v>
      </c>
      <c r="G302" s="5">
        <f t="shared" si="22"/>
        <v>-0.37203448651415266</v>
      </c>
      <c r="H302" s="7"/>
      <c r="I302" s="26"/>
      <c r="J302" s="29"/>
    </row>
    <row r="303" spans="1:10" ht="12.75">
      <c r="A303" s="27"/>
      <c r="B303" s="21" t="s">
        <v>6</v>
      </c>
      <c r="C303" s="22">
        <v>2017</v>
      </c>
      <c r="D303" s="28">
        <v>508.2745465677328</v>
      </c>
      <c r="E303" s="28">
        <v>699.9999961654908</v>
      </c>
      <c r="F303" s="28">
        <f t="shared" si="24"/>
        <v>-191.72544959775797</v>
      </c>
      <c r="G303" s="5">
        <f t="shared" si="22"/>
        <v>-0.3772084415645799</v>
      </c>
      <c r="H303" s="7"/>
      <c r="I303" s="26"/>
      <c r="J303" s="29"/>
    </row>
    <row r="304" spans="1:10" ht="12.75">
      <c r="A304" s="27"/>
      <c r="B304" s="21" t="s">
        <v>16</v>
      </c>
      <c r="C304" s="22">
        <v>2017</v>
      </c>
      <c r="D304" s="28">
        <v>502.79068364219216</v>
      </c>
      <c r="E304" s="28">
        <v>699.9999960558139</v>
      </c>
      <c r="F304" s="28">
        <f t="shared" si="24"/>
        <v>-197.20931241362172</v>
      </c>
      <c r="G304" s="5">
        <f t="shared" si="22"/>
        <v>-0.392229448216993</v>
      </c>
      <c r="H304" s="7"/>
      <c r="I304" s="26"/>
      <c r="J304" s="29"/>
    </row>
    <row r="305" spans="1:10" ht="12.75">
      <c r="A305" s="27"/>
      <c r="B305" s="21" t="s">
        <v>10</v>
      </c>
      <c r="C305" s="22">
        <v>2017</v>
      </c>
      <c r="D305" s="28">
        <v>507.46902172233416</v>
      </c>
      <c r="E305" s="28">
        <v>699.9999961493802</v>
      </c>
      <c r="F305" s="28">
        <f t="shared" si="24"/>
        <v>-192.53097442704603</v>
      </c>
      <c r="G305" s="5">
        <f t="shared" si="22"/>
        <v>-0.37939453678098783</v>
      </c>
      <c r="H305" s="7"/>
      <c r="I305" s="26"/>
      <c r="J305" s="29"/>
    </row>
    <row r="306" spans="1:10" ht="12.75">
      <c r="A306" s="16" t="s">
        <v>31</v>
      </c>
      <c r="B306" s="17" t="s">
        <v>8</v>
      </c>
      <c r="C306" s="18">
        <v>2017</v>
      </c>
      <c r="D306" s="31">
        <v>499.93681934961734</v>
      </c>
      <c r="E306" s="31">
        <v>699.9999959987366</v>
      </c>
      <c r="F306" s="31">
        <f t="shared" si="24"/>
        <v>-200.06317664911927</v>
      </c>
      <c r="G306" s="6">
        <f t="shared" si="22"/>
        <v>-0.40017692017440804</v>
      </c>
      <c r="H306" s="7"/>
      <c r="I306" s="26"/>
      <c r="J306" s="29"/>
    </row>
    <row r="307" spans="1:10" ht="12.75">
      <c r="A307" s="32"/>
      <c r="B307" s="17" t="s">
        <v>4</v>
      </c>
      <c r="C307" s="18">
        <v>2017</v>
      </c>
      <c r="D307" s="31">
        <v>499.6218449352804</v>
      </c>
      <c r="E307" s="31">
        <v>699.999995992437</v>
      </c>
      <c r="F307" s="31">
        <f t="shared" si="24"/>
        <v>-200.37815105715657</v>
      </c>
      <c r="G307" s="6">
        <f t="shared" si="22"/>
        <v>-0.40105962757315583</v>
      </c>
      <c r="H307" s="7"/>
      <c r="I307" s="26"/>
      <c r="J307" s="29"/>
    </row>
    <row r="308" spans="1:10" ht="12.75">
      <c r="A308" s="32"/>
      <c r="B308" s="17" t="s">
        <v>7</v>
      </c>
      <c r="C308" s="18">
        <v>2017</v>
      </c>
      <c r="D308" s="31">
        <v>500.38116717089594</v>
      </c>
      <c r="E308" s="31">
        <v>699.999996007623</v>
      </c>
      <c r="F308" s="31">
        <f t="shared" si="24"/>
        <v>-199.61882883672712</v>
      </c>
      <c r="G308" s="6">
        <f t="shared" si="22"/>
        <v>-0.3989335369381538</v>
      </c>
      <c r="H308" s="7"/>
      <c r="I308" s="26"/>
      <c r="J308" s="29"/>
    </row>
    <row r="309" spans="1:10" ht="12.75">
      <c r="A309" s="32"/>
      <c r="B309" s="17" t="s">
        <v>9</v>
      </c>
      <c r="C309" s="18">
        <v>2017</v>
      </c>
      <c r="D309" s="31">
        <v>498.7038252887641</v>
      </c>
      <c r="E309" s="31">
        <v>699.9999959740762</v>
      </c>
      <c r="F309" s="31">
        <f t="shared" si="24"/>
        <v>-201.29617068531212</v>
      </c>
      <c r="G309" s="6">
        <f t="shared" si="22"/>
        <v>-0.40363871395763956</v>
      </c>
      <c r="H309" s="7"/>
      <c r="I309" s="26"/>
      <c r="J309" s="29"/>
    </row>
    <row r="310" spans="1:10" ht="12.75">
      <c r="A310" s="32"/>
      <c r="B310" s="17" t="s">
        <v>11</v>
      </c>
      <c r="C310" s="18">
        <v>2017</v>
      </c>
      <c r="D310" s="31">
        <v>497.8334640903362</v>
      </c>
      <c r="E310" s="31">
        <v>699.9999959566691</v>
      </c>
      <c r="F310" s="31">
        <f>+D310-E310</f>
        <v>-202.1665318663329</v>
      </c>
      <c r="G310" s="6">
        <f t="shared" si="22"/>
        <v>-0.40609269253472285</v>
      </c>
      <c r="H310" s="7"/>
      <c r="I310" s="26"/>
      <c r="J310" s="29"/>
    </row>
    <row r="311" spans="1:10" ht="12.75">
      <c r="A311" s="32"/>
      <c r="B311" s="17" t="s">
        <v>3</v>
      </c>
      <c r="C311" s="18">
        <v>2017</v>
      </c>
      <c r="D311" s="31">
        <v>498.08171484913214</v>
      </c>
      <c r="E311" s="31">
        <v>699.9999959616348</v>
      </c>
      <c r="F311" s="31">
        <f>+D311-E311</f>
        <v>-201.91828111250265</v>
      </c>
      <c r="G311" s="6">
        <f t="shared" si="22"/>
        <v>-0.4053918766595623</v>
      </c>
      <c r="H311" s="7"/>
      <c r="I311" s="26"/>
      <c r="J311" s="29"/>
    </row>
    <row r="312" spans="1:10" ht="12.75">
      <c r="A312" s="32"/>
      <c r="B312" s="17" t="s">
        <v>12</v>
      </c>
      <c r="C312" s="18">
        <v>2017</v>
      </c>
      <c r="D312" s="31">
        <v>498.88744417009167</v>
      </c>
      <c r="E312" s="31">
        <v>699.9999959777487</v>
      </c>
      <c r="F312" s="31">
        <v>-201.11255180765698</v>
      </c>
      <c r="G312" s="6">
        <v>-0.4031220952898732</v>
      </c>
      <c r="H312" s="7"/>
      <c r="I312" s="26"/>
      <c r="J312" s="29"/>
    </row>
    <row r="313" spans="1:10" ht="12.75">
      <c r="A313" s="32"/>
      <c r="B313" s="17" t="s">
        <v>5</v>
      </c>
      <c r="C313" s="18">
        <v>2018</v>
      </c>
      <c r="D313" s="31">
        <v>502.73546413702934</v>
      </c>
      <c r="E313" s="31">
        <v>720.5299956441092</v>
      </c>
      <c r="F313" s="31">
        <f>+D313-E313</f>
        <v>-217.7945315070799</v>
      </c>
      <c r="G313" s="6">
        <f>+F313/D313</f>
        <v>-0.4332189531942712</v>
      </c>
      <c r="H313" s="7"/>
      <c r="I313" s="26"/>
      <c r="J313" s="29"/>
    </row>
    <row r="314" spans="1:10" ht="12.75">
      <c r="A314" s="32"/>
      <c r="B314" s="17" t="s">
        <v>17</v>
      </c>
      <c r="C314" s="18">
        <v>2018</v>
      </c>
      <c r="D314" s="31">
        <v>500.4863959072928</v>
      </c>
      <c r="E314" s="31">
        <v>720.5299955991283</v>
      </c>
      <c r="F314" s="31">
        <f>+D314-E314</f>
        <v>-220.04359969183548</v>
      </c>
      <c r="G314" s="6">
        <f>+F314/D314</f>
        <v>-0.43965950221870786</v>
      </c>
      <c r="H314" s="7"/>
      <c r="I314" s="26"/>
      <c r="J314" s="29"/>
    </row>
    <row r="315" spans="1:10" ht="13.5" thickBot="1">
      <c r="A315" s="33"/>
      <c r="B315" s="34" t="s">
        <v>6</v>
      </c>
      <c r="C315" s="35">
        <v>2018</v>
      </c>
      <c r="D315" s="36">
        <v>499.7864917623179</v>
      </c>
      <c r="E315" s="36">
        <v>720.5299955851301</v>
      </c>
      <c r="F315" s="36">
        <f>+D315-E315</f>
        <v>-220.74350382281222</v>
      </c>
      <c r="G315" s="37">
        <f>+F315/D315</f>
        <v>-0.4416756104080352</v>
      </c>
      <c r="H315" s="7"/>
      <c r="I315" s="26"/>
      <c r="J315" s="29"/>
    </row>
    <row r="316" spans="1:7" ht="12.75">
      <c r="A316" s="38"/>
      <c r="B316" s="38"/>
      <c r="C316" s="38"/>
      <c r="D316" s="38"/>
      <c r="E316" s="38"/>
      <c r="F316" s="38"/>
      <c r="G316" s="38"/>
    </row>
    <row r="317" ht="13.5"/>
    <row r="318" ht="13.5"/>
    <row r="319" ht="13.5">
      <c r="J319" s="39"/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52" right="0.17" top="0.76" bottom="0.5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Diana Barco</cp:lastModifiedBy>
  <dcterms:created xsi:type="dcterms:W3CDTF">2015-02-04T14:45:26Z</dcterms:created>
  <dcterms:modified xsi:type="dcterms:W3CDTF">2018-03-29T13:06:35Z</dcterms:modified>
  <cp:category/>
  <cp:version/>
  <cp:contentType/>
  <cp:contentStatus/>
</cp:coreProperties>
</file>