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105" windowHeight="4680" tabRatio="596" activeTab="0"/>
  </bookViews>
  <sheets>
    <sheet name="SERIE BASICA" sheetId="1" r:id="rId1"/>
  </sheets>
  <definedNames>
    <definedName name="_xlnm.Print_Titles" localSheetId="0">'SERIE BASICA'!$6:$13</definedName>
  </definedNames>
  <calcPr fullCalcOnLoad="1"/>
</workbook>
</file>

<file path=xl/sharedStrings.xml><?xml version="1.0" encoding="utf-8"?>
<sst xmlns="http://schemas.openxmlformats.org/spreadsheetml/2006/main" count="309" uniqueCount="65">
  <si>
    <t>COSTO</t>
  </si>
  <si>
    <t>INGRESO</t>
  </si>
  <si>
    <t>GOBIERNOS</t>
  </si>
  <si>
    <t>MESES</t>
  </si>
  <si>
    <t>AÑOS</t>
  </si>
  <si>
    <t xml:space="preserve">CANASTA </t>
  </si>
  <si>
    <t>FAMILIAR</t>
  </si>
  <si>
    <t>BASICA 1/</t>
  </si>
  <si>
    <t>MENSUAL 2/</t>
  </si>
  <si>
    <t>(costo-ingreso)</t>
  </si>
  <si>
    <t>(porcentual)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</si>
  <si>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</si>
  <si>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</si>
  <si>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</si>
  <si>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</si>
  <si>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</si>
  <si>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</si>
  <si>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</si>
  <si>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</si>
  <si>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</si>
  <si>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</si>
  <si>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</si>
  <si>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</si>
  <si>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</si>
  <si>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</si>
  <si>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</si>
  <si>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</si>
  <si>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</si>
  <si>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RESTRICCION</t>
  </si>
  <si>
    <t>EN CONSUMO</t>
  </si>
  <si>
    <t xml:space="preserve">BASE: Noviembre de 1982 = 100 </t>
  </si>
  <si>
    <t xml:space="preserve">CANASTA FAMILIAR BASICA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</si>
  <si>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</si>
  <si>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</si>
  <si>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</si>
  <si>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</si>
  <si>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</si>
  <si>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</si>
  <si>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</si>
  <si>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</si>
  <si>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</si>
  <si>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</si>
  <si>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>*</t>
  </si>
  <si>
    <t>Julio     *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</si>
  <si>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</si>
  <si>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</si>
  <si>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</si>
  <si>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</si>
  <si>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</si>
  <si>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</si>
  <si>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</si>
  <si>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</si>
  <si>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</si>
  <si>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</si>
  <si>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</si>
  <si>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</si>
  <si>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</si>
  <si>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</si>
  <si>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</si>
  <si>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</si>
  <si>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</si>
  <si>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</si>
  <si>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**Enero</t>
  </si>
  <si>
    <t>Alfredo Palacio</t>
  </si>
  <si>
    <t>Rafael Correa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</si>
</sst>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5" fontId="0" fillId="0" borderId="0" xfId="0" applyNumberFormat="1" applyAlignment="1">
      <alignment/>
    </xf>
    <xf numFmtId="0" fontId="45" fillId="34" borderId="11" xfId="0" applyFont="1" applyFill="1" applyBorder="1" applyAlignment="1">
      <alignment horizontal="center"/>
    </xf>
    <xf numFmtId="1" fontId="45" fillId="34" borderId="11" xfId="0" applyNumberFormat="1" applyFont="1" applyFill="1" applyBorder="1" applyAlignment="1">
      <alignment horizontal="center"/>
    </xf>
    <xf numFmtId="0" fontId="45" fillId="34" borderId="11" xfId="0" applyFont="1" applyFill="1" applyBorder="1" applyAlignment="1" quotePrefix="1">
      <alignment horizontal="center"/>
    </xf>
    <xf numFmtId="0" fontId="45" fillId="34" borderId="12" xfId="0" applyFont="1" applyFill="1" applyBorder="1" applyAlignment="1">
      <alignment horizontal="center"/>
    </xf>
    <xf numFmtId="1" fontId="45" fillId="34" borderId="12" xfId="0" applyNumberFormat="1" applyFont="1" applyFill="1" applyBorder="1" applyAlignment="1">
      <alignment horizontal="center"/>
    </xf>
    <xf numFmtId="0" fontId="45" fillId="34" borderId="12" xfId="0" applyFont="1" applyFill="1" applyBorder="1" applyAlignment="1" quotePrefix="1">
      <alignment horizontal="center"/>
    </xf>
    <xf numFmtId="1" fontId="45" fillId="34" borderId="12" xfId="0" applyNumberFormat="1" applyFont="1" applyFill="1" applyBorder="1" applyAlignment="1" quotePrefix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/>
    </xf>
    <xf numFmtId="184" fontId="0" fillId="2" borderId="16" xfId="54" applyNumberFormat="1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184" fontId="0" fillId="0" borderId="16" xfId="54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4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4" fontId="0" fillId="2" borderId="12" xfId="0" applyNumberFormat="1" applyFill="1" applyBorder="1" applyAlignment="1">
      <alignment/>
    </xf>
    <xf numFmtId="0" fontId="4" fillId="35" borderId="15" xfId="0" applyFont="1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4" fontId="0" fillId="35" borderId="12" xfId="0" applyNumberFormat="1" applyFill="1" applyBorder="1" applyAlignment="1">
      <alignment/>
    </xf>
    <xf numFmtId="184" fontId="0" fillId="35" borderId="16" xfId="54" applyNumberFormat="1" applyFont="1" applyFill="1" applyBorder="1" applyAlignment="1">
      <alignment horizontal="center"/>
    </xf>
    <xf numFmtId="184" fontId="5" fillId="2" borderId="16" xfId="54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184" fontId="5" fillId="35" borderId="16" xfId="54" applyNumberFormat="1" applyFont="1" applyFill="1" applyBorder="1" applyAlignment="1">
      <alignment horizontal="center"/>
    </xf>
    <xf numFmtId="0" fontId="0" fillId="35" borderId="15" xfId="0" applyFill="1" applyBorder="1" applyAlignment="1">
      <alignment/>
    </xf>
    <xf numFmtId="2" fontId="0" fillId="35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2" fontId="0" fillId="2" borderId="12" xfId="0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84" fontId="5" fillId="0" borderId="16" xfId="54" applyNumberFormat="1" applyFont="1" applyFill="1" applyBorder="1" applyAlignment="1">
      <alignment horizontal="center"/>
    </xf>
    <xf numFmtId="10" fontId="5" fillId="0" borderId="16" xfId="54" applyNumberFormat="1" applyFont="1" applyFill="1" applyBorder="1" applyAlignment="1">
      <alignment horizontal="center"/>
    </xf>
    <xf numFmtId="10" fontId="5" fillId="2" borderId="16" xfId="54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1" fontId="45" fillId="34" borderId="18" xfId="0" applyNumberFormat="1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293</xdr:row>
      <xdr:rowOff>38100</xdr:rowOff>
    </xdr:from>
    <xdr:to>
      <xdr:col>6</xdr:col>
      <xdr:colOff>742950</xdr:colOff>
      <xdr:row>295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34525"/>
          <a:ext cx="61531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4</xdr:row>
      <xdr:rowOff>0</xdr:rowOff>
    </xdr:to>
    <xdr:pic>
      <xdr:nvPicPr>
        <xdr:cNvPr id="2" name="1 Imag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95"/>
  <sheetViews>
    <sheetView tabSelected="1" zoomScalePageLayoutView="0" workbookViewId="0" topLeftCell="A271">
      <selection activeCell="I285" sqref="I285"/>
    </sheetView>
  </sheetViews>
  <sheetFormatPr defaultColWidth="11.421875" defaultRowHeight="12.75"/>
  <cols>
    <col min="1" max="1" width="20.140625" style="0" customWidth="1"/>
    <col min="6" max="6" width="15.28125" style="0" customWidth="1"/>
    <col min="7" max="7" width="13.421875" style="0" customWidth="1"/>
  </cols>
  <sheetData>
    <row r="4" ht="13.5" thickBot="1"/>
    <row r="5" ht="13.5" thickBot="1"/>
    <row r="6" spans="1:7" ht="20.25">
      <c r="A6" s="64" t="s">
        <v>31</v>
      </c>
      <c r="B6" s="65"/>
      <c r="C6" s="65"/>
      <c r="D6" s="65"/>
      <c r="E6" s="65"/>
      <c r="F6" s="65"/>
      <c r="G6" s="66"/>
    </row>
    <row r="7" spans="1:7" ht="13.5" thickBot="1">
      <c r="A7" s="67" t="s">
        <v>30</v>
      </c>
      <c r="B7" s="68"/>
      <c r="C7" s="68"/>
      <c r="D7" s="68"/>
      <c r="E7" s="68"/>
      <c r="F7" s="68"/>
      <c r="G7" s="69"/>
    </row>
    <row r="8" spans="1:7" ht="12.75">
      <c r="A8" s="56"/>
      <c r="B8" s="5"/>
      <c r="C8" s="5"/>
      <c r="D8" s="6" t="s">
        <v>0</v>
      </c>
      <c r="E8" s="7" t="s">
        <v>1</v>
      </c>
      <c r="F8" s="5" t="s">
        <v>28</v>
      </c>
      <c r="G8" s="57"/>
    </row>
    <row r="9" spans="1:7" ht="12.75">
      <c r="A9" s="58" t="s">
        <v>2</v>
      </c>
      <c r="B9" s="8" t="s">
        <v>3</v>
      </c>
      <c r="C9" s="8" t="s">
        <v>4</v>
      </c>
      <c r="D9" s="9" t="s">
        <v>5</v>
      </c>
      <c r="E9" s="10" t="s">
        <v>6</v>
      </c>
      <c r="F9" s="8" t="s">
        <v>29</v>
      </c>
      <c r="G9" s="59" t="s">
        <v>28</v>
      </c>
    </row>
    <row r="10" spans="1:7" ht="12.75">
      <c r="A10" s="58"/>
      <c r="B10" s="8"/>
      <c r="C10" s="8"/>
      <c r="D10" s="11" t="s">
        <v>7</v>
      </c>
      <c r="E10" s="8" t="s">
        <v>8</v>
      </c>
      <c r="F10" s="8" t="s">
        <v>9</v>
      </c>
      <c r="G10" s="59"/>
    </row>
    <row r="11" spans="1:7" ht="12.75">
      <c r="A11" s="58"/>
      <c r="B11" s="8"/>
      <c r="C11" s="8"/>
      <c r="D11" s="11" t="s">
        <v>61</v>
      </c>
      <c r="E11" s="10" t="s">
        <v>61</v>
      </c>
      <c r="F11" s="8" t="s">
        <v>61</v>
      </c>
      <c r="G11" s="59" t="s">
        <v>10</v>
      </c>
    </row>
    <row r="12" spans="1:7" ht="13.5" thickBot="1">
      <c r="A12" s="60"/>
      <c r="B12" s="61"/>
      <c r="C12" s="61"/>
      <c r="D12" s="62"/>
      <c r="E12" s="62"/>
      <c r="F12" s="61"/>
      <c r="G12" s="63"/>
    </row>
    <row r="13" spans="1:7" ht="13.5" thickBot="1">
      <c r="A13" s="1"/>
      <c r="B13" s="1"/>
      <c r="C13" s="1"/>
      <c r="D13" s="2"/>
      <c r="E13" s="2"/>
      <c r="F13" s="1"/>
      <c r="G13" s="1"/>
    </row>
    <row r="14" spans="1:7" ht="12.75">
      <c r="A14" s="12"/>
      <c r="B14" s="13"/>
      <c r="C14" s="13"/>
      <c r="D14" s="14"/>
      <c r="E14" s="14"/>
      <c r="F14" s="13"/>
      <c r="G14" s="15"/>
    </row>
    <row r="15" spans="1:7" ht="12.75">
      <c r="A15" s="16" t="s">
        <v>11</v>
      </c>
      <c r="B15" s="17" t="s">
        <v>56</v>
      </c>
      <c r="C15" s="18">
        <v>1982</v>
      </c>
      <c r="D15" s="19">
        <f>10758/26.79</f>
        <v>401.5677491601344</v>
      </c>
      <c r="E15" s="19">
        <f>10758.44/26.79</f>
        <v>401.5841731989549</v>
      </c>
      <c r="F15" s="19">
        <f>+D15-E15</f>
        <v>-0.01642403882050303</v>
      </c>
      <c r="G15" s="20">
        <f aca="true" t="shared" si="0" ref="G15:G46">+F15/D15</f>
        <v>-4.089979550114112E-05</v>
      </c>
    </row>
    <row r="16" spans="1:7" ht="12.75">
      <c r="A16" s="16"/>
      <c r="B16" s="17" t="s">
        <v>47</v>
      </c>
      <c r="C16" s="18">
        <v>1983</v>
      </c>
      <c r="D16" s="19">
        <f>15965/44.49</f>
        <v>358.8446841986963</v>
      </c>
      <c r="E16" s="19">
        <f>13416.83/44.49</f>
        <v>301.56956619465046</v>
      </c>
      <c r="F16" s="19">
        <f aca="true" t="shared" si="1" ref="F16:F47">+D16-E16</f>
        <v>57.27511800404585</v>
      </c>
      <c r="G16" s="20">
        <f t="shared" si="0"/>
        <v>0.15960977137488255</v>
      </c>
    </row>
    <row r="17" spans="1:7" ht="12.75">
      <c r="A17" s="21" t="s">
        <v>14</v>
      </c>
      <c r="B17" s="22" t="s">
        <v>35</v>
      </c>
      <c r="C17" s="23">
        <v>1984</v>
      </c>
      <c r="D17" s="24">
        <f>17757/90</f>
        <v>197.3</v>
      </c>
      <c r="E17" s="24">
        <f>15692.71/90</f>
        <v>174.36344444444444</v>
      </c>
      <c r="F17" s="24">
        <f t="shared" si="1"/>
        <v>22.93655555555557</v>
      </c>
      <c r="G17" s="25">
        <f t="shared" si="0"/>
        <v>0.11625218223799072</v>
      </c>
    </row>
    <row r="18" spans="1:7" ht="12.75">
      <c r="A18" s="21"/>
      <c r="B18" s="22" t="s">
        <v>37</v>
      </c>
      <c r="C18" s="23">
        <v>1985</v>
      </c>
      <c r="D18" s="24">
        <f>22932/120.76</f>
        <v>189.89731699238158</v>
      </c>
      <c r="E18" s="24">
        <f>20813.92/120.76</f>
        <v>172.3577343491222</v>
      </c>
      <c r="F18" s="24">
        <f t="shared" si="1"/>
        <v>17.539582643259365</v>
      </c>
      <c r="G18" s="25">
        <f t="shared" si="0"/>
        <v>0.0923635095063667</v>
      </c>
    </row>
    <row r="19" spans="1:7" ht="12.75">
      <c r="A19" s="21" t="s">
        <v>42</v>
      </c>
      <c r="B19" s="22" t="s">
        <v>35</v>
      </c>
      <c r="C19" s="23">
        <v>1986</v>
      </c>
      <c r="D19" s="24">
        <f>26616/130.74</f>
        <v>203.57962368058742</v>
      </c>
      <c r="E19" s="24">
        <f>24447.23/130.74</f>
        <v>186.99120391616947</v>
      </c>
      <c r="F19" s="24">
        <f t="shared" si="1"/>
        <v>16.58841976441795</v>
      </c>
      <c r="G19" s="25">
        <f t="shared" si="0"/>
        <v>0.08148369401863552</v>
      </c>
    </row>
    <row r="20" spans="1:7" ht="12.75">
      <c r="A20" s="21"/>
      <c r="B20" s="22" t="s">
        <v>48</v>
      </c>
      <c r="C20" s="23">
        <v>1986</v>
      </c>
      <c r="D20" s="24">
        <f>29640/161.5</f>
        <v>183.52941176470588</v>
      </c>
      <c r="E20" s="24">
        <f>27507.23/161.5</f>
        <v>170.3234055727554</v>
      </c>
      <c r="F20" s="24">
        <f t="shared" si="1"/>
        <v>13.206006191950479</v>
      </c>
      <c r="G20" s="25">
        <f t="shared" si="0"/>
        <v>0.07195580296896094</v>
      </c>
    </row>
    <row r="21" spans="1:7" ht="12.75">
      <c r="A21" s="21"/>
      <c r="B21" s="22" t="s">
        <v>47</v>
      </c>
      <c r="C21" s="23">
        <v>1987</v>
      </c>
      <c r="D21" s="24">
        <f>37667/192.77</f>
        <v>195.3986616174716</v>
      </c>
      <c r="E21" s="24">
        <f>32892.89/192.77</f>
        <v>170.6328266846501</v>
      </c>
      <c r="F21" s="24">
        <f t="shared" si="1"/>
        <v>24.76583493282149</v>
      </c>
      <c r="G21" s="25">
        <f t="shared" si="0"/>
        <v>0.1267451615472429</v>
      </c>
    </row>
    <row r="22" spans="1:7" ht="12.75">
      <c r="A22" s="21"/>
      <c r="B22" s="22" t="s">
        <v>40</v>
      </c>
      <c r="C22" s="23">
        <v>1988</v>
      </c>
      <c r="D22" s="24">
        <f>59354/462.75</f>
        <v>128.2636412749865</v>
      </c>
      <c r="E22" s="24">
        <f>42166.17/462.75</f>
        <v>91.12084278768234</v>
      </c>
      <c r="F22" s="24">
        <f t="shared" si="1"/>
        <v>37.14279848730416</v>
      </c>
      <c r="G22" s="25">
        <f t="shared" si="0"/>
        <v>0.28958166256697104</v>
      </c>
    </row>
    <row r="23" spans="1:7" ht="12.75">
      <c r="A23" s="16" t="s">
        <v>19</v>
      </c>
      <c r="B23" s="26" t="s">
        <v>49</v>
      </c>
      <c r="C23" s="18">
        <v>1988</v>
      </c>
      <c r="D23" s="19">
        <f>70169/517.61</f>
        <v>135.5634551109909</v>
      </c>
      <c r="E23" s="19">
        <f>47123.37/517.61</f>
        <v>91.04030061243022</v>
      </c>
      <c r="F23" s="19">
        <f t="shared" si="1"/>
        <v>44.523154498560686</v>
      </c>
      <c r="G23" s="20">
        <f t="shared" si="0"/>
        <v>0.3284303609856204</v>
      </c>
    </row>
    <row r="24" spans="1:7" ht="12.75">
      <c r="A24" s="16"/>
      <c r="B24" s="26" t="s">
        <v>39</v>
      </c>
      <c r="C24" s="18">
        <v>1989</v>
      </c>
      <c r="D24" s="19">
        <f>104177/529.76</f>
        <v>196.64942615524012</v>
      </c>
      <c r="E24" s="19">
        <f>57840.79/529.76</f>
        <v>109.18300739957716</v>
      </c>
      <c r="F24" s="19">
        <f t="shared" si="1"/>
        <v>87.46641875566296</v>
      </c>
      <c r="G24" s="20">
        <f t="shared" si="0"/>
        <v>0.4447834934774471</v>
      </c>
    </row>
    <row r="25" spans="1:7" ht="12.75">
      <c r="A25" s="16"/>
      <c r="B25" s="26" t="s">
        <v>56</v>
      </c>
      <c r="C25" s="18">
        <v>1989</v>
      </c>
      <c r="D25" s="19">
        <f>124785/662.46</f>
        <v>188.36609002807717</v>
      </c>
      <c r="E25" s="19">
        <f>69483.25/662.46</f>
        <v>104.88671014098963</v>
      </c>
      <c r="F25" s="19">
        <f t="shared" si="1"/>
        <v>83.47937988708753</v>
      </c>
      <c r="G25" s="20">
        <f t="shared" si="0"/>
        <v>0.443176263172657</v>
      </c>
    </row>
    <row r="26" spans="1:7" ht="12.75">
      <c r="A26" s="16"/>
      <c r="B26" s="26" t="s">
        <v>50</v>
      </c>
      <c r="C26" s="18">
        <v>1990</v>
      </c>
      <c r="D26" s="19">
        <f>173106.923/862.92</f>
        <v>200.60599244425904</v>
      </c>
      <c r="E26" s="19">
        <f>81468.86/862.92</f>
        <v>94.41067538126362</v>
      </c>
      <c r="F26" s="19">
        <f t="shared" si="1"/>
        <v>106.19531706299543</v>
      </c>
      <c r="G26" s="20">
        <f t="shared" si="0"/>
        <v>0.5293726063168485</v>
      </c>
    </row>
    <row r="27" spans="1:7" ht="12.75">
      <c r="A27" s="16"/>
      <c r="B27" s="26" t="s">
        <v>56</v>
      </c>
      <c r="C27" s="18">
        <v>1990</v>
      </c>
      <c r="D27" s="19">
        <f>179071.288/873.01</f>
        <v>205.11940069415013</v>
      </c>
      <c r="E27" s="19">
        <f>81468.86/873.01</f>
        <v>93.31950378575274</v>
      </c>
      <c r="F27" s="19">
        <f t="shared" si="1"/>
        <v>111.79989690839739</v>
      </c>
      <c r="G27" s="20">
        <f t="shared" si="0"/>
        <v>0.5450478917647591</v>
      </c>
    </row>
    <row r="28" spans="1:7" ht="12.75">
      <c r="A28" s="16"/>
      <c r="B28" s="26" t="s">
        <v>23</v>
      </c>
      <c r="C28" s="18">
        <v>1990</v>
      </c>
      <c r="D28" s="19">
        <f>183772.611/876.69</f>
        <v>209.62097320603633</v>
      </c>
      <c r="E28" s="19">
        <f>81468.86/876.69</f>
        <v>92.9277851920291</v>
      </c>
      <c r="F28" s="19">
        <f t="shared" si="1"/>
        <v>116.69318801400722</v>
      </c>
      <c r="G28" s="20">
        <f t="shared" si="0"/>
        <v>0.5566866054920447</v>
      </c>
    </row>
    <row r="29" spans="1:7" ht="12.75">
      <c r="A29" s="16"/>
      <c r="B29" s="26" t="s">
        <v>54</v>
      </c>
      <c r="C29" s="18">
        <v>1991</v>
      </c>
      <c r="D29" s="19">
        <f>193596.271/936.17</f>
        <v>206.79606374910543</v>
      </c>
      <c r="E29" s="19">
        <f>94350.01/936.17</f>
        <v>100.78298813249731</v>
      </c>
      <c r="F29" s="19">
        <f t="shared" si="1"/>
        <v>106.01307561660812</v>
      </c>
      <c r="G29" s="20">
        <f t="shared" si="0"/>
        <v>0.5126455199129326</v>
      </c>
    </row>
    <row r="30" spans="1:7" ht="12.75">
      <c r="A30" s="16"/>
      <c r="B30" s="26" t="s">
        <v>55</v>
      </c>
      <c r="C30" s="18">
        <v>1991</v>
      </c>
      <c r="D30" s="19">
        <f>201455.199/978.4</f>
        <v>205.902697260834</v>
      </c>
      <c r="E30" s="19">
        <f>94350.01/798.4</f>
        <v>118.17386022044087</v>
      </c>
      <c r="F30" s="19">
        <f t="shared" si="1"/>
        <v>87.72883704039313</v>
      </c>
      <c r="G30" s="20">
        <f t="shared" si="0"/>
        <v>0.42606939203549987</v>
      </c>
    </row>
    <row r="31" spans="1:7" ht="12.75">
      <c r="A31" s="16"/>
      <c r="B31" s="26" t="s">
        <v>46</v>
      </c>
      <c r="C31" s="18">
        <v>1991</v>
      </c>
      <c r="D31" s="19">
        <f>208822.944/1015</f>
        <v>205.73689064039408</v>
      </c>
      <c r="E31" s="19">
        <f>94350.01/1015</f>
        <v>92.95567487684728</v>
      </c>
      <c r="F31" s="19">
        <f t="shared" si="1"/>
        <v>112.7812157635468</v>
      </c>
      <c r="G31" s="20">
        <f t="shared" si="0"/>
        <v>0.548181784085948</v>
      </c>
    </row>
    <row r="32" spans="1:7" ht="12.75">
      <c r="A32" s="16"/>
      <c r="B32" s="26" t="s">
        <v>38</v>
      </c>
      <c r="C32" s="18">
        <v>1991</v>
      </c>
      <c r="D32" s="19">
        <f>214927.647/1037.85</f>
        <v>207.08931637519873</v>
      </c>
      <c r="E32" s="19">
        <f>94350.01/1037.85</f>
        <v>90.90910054439466</v>
      </c>
      <c r="F32" s="19">
        <f t="shared" si="1"/>
        <v>116.18021583080407</v>
      </c>
      <c r="G32" s="20">
        <f t="shared" si="0"/>
        <v>0.5610150145085802</v>
      </c>
    </row>
    <row r="33" spans="1:7" ht="12.75">
      <c r="A33" s="16"/>
      <c r="B33" s="26" t="s">
        <v>39</v>
      </c>
      <c r="C33" s="18">
        <v>1991</v>
      </c>
      <c r="D33" s="19">
        <f>223768.941/1113.89</f>
        <v>200.8896219554893</v>
      </c>
      <c r="E33" s="19">
        <f>94350.01/1113.89</f>
        <v>84.7031663808814</v>
      </c>
      <c r="F33" s="19">
        <f t="shared" si="1"/>
        <v>116.1864555746079</v>
      </c>
      <c r="G33" s="20">
        <f t="shared" si="0"/>
        <v>0.5783596705675075</v>
      </c>
    </row>
    <row r="34" spans="1:7" ht="12.75">
      <c r="A34" s="16"/>
      <c r="B34" s="26" t="s">
        <v>40</v>
      </c>
      <c r="C34" s="18">
        <v>1991</v>
      </c>
      <c r="D34" s="19">
        <f>230785.841/1121.55</f>
        <v>205.77401007534215</v>
      </c>
      <c r="E34" s="19">
        <f>94350.01/1121.55</f>
        <v>84.12465783959699</v>
      </c>
      <c r="F34" s="19">
        <f t="shared" si="1"/>
        <v>121.64935223574516</v>
      </c>
      <c r="G34" s="20">
        <f t="shared" si="0"/>
        <v>0.5911793826207908</v>
      </c>
    </row>
    <row r="35" spans="1:7" ht="12.75">
      <c r="A35" s="16"/>
      <c r="B35" s="26" t="s">
        <v>47</v>
      </c>
      <c r="C35" s="18">
        <v>1991</v>
      </c>
      <c r="D35" s="19">
        <f>236399.361/1121.01</f>
        <v>210.88068884309686</v>
      </c>
      <c r="E35" s="19">
        <f>94350.01/1121.01</f>
        <v>84.16518139891704</v>
      </c>
      <c r="F35" s="19">
        <f t="shared" si="1"/>
        <v>126.71550744417982</v>
      </c>
      <c r="G35" s="20">
        <f t="shared" si="0"/>
        <v>0.6008872037517903</v>
      </c>
    </row>
    <row r="36" spans="1:7" ht="12.75">
      <c r="A36" s="16"/>
      <c r="B36" s="26" t="s">
        <v>48</v>
      </c>
      <c r="C36" s="18">
        <v>1991</v>
      </c>
      <c r="D36" s="19">
        <f>242223.388/1113.3</f>
        <v>217.57243150992545</v>
      </c>
      <c r="E36" s="19">
        <f>94350.01/1113.3</f>
        <v>84.74805533099793</v>
      </c>
      <c r="F36" s="19">
        <f t="shared" si="1"/>
        <v>132.82437617892754</v>
      </c>
      <c r="G36" s="20">
        <f t="shared" si="0"/>
        <v>0.6104834847739807</v>
      </c>
    </row>
    <row r="37" spans="1:7" ht="12.75">
      <c r="A37" s="16"/>
      <c r="B37" s="26" t="s">
        <v>49</v>
      </c>
      <c r="C37" s="18">
        <v>1991</v>
      </c>
      <c r="D37" s="19">
        <f>251134.851/1127.25</f>
        <v>222.78540785096473</v>
      </c>
      <c r="E37" s="19">
        <f>94350.01/1127.25</f>
        <v>83.69927700155245</v>
      </c>
      <c r="F37" s="19">
        <f t="shared" si="1"/>
        <v>139.08613084941229</v>
      </c>
      <c r="G37" s="20">
        <f t="shared" si="0"/>
        <v>0.6243053896171503</v>
      </c>
    </row>
    <row r="38" spans="1:7" ht="12.75">
      <c r="A38" s="16"/>
      <c r="B38" s="26" t="s">
        <v>50</v>
      </c>
      <c r="C38" s="18">
        <v>1991</v>
      </c>
      <c r="D38" s="19">
        <f>258362.258/1162.3</f>
        <v>222.285346296137</v>
      </c>
      <c r="E38" s="19">
        <f>105825.01/1162.3</f>
        <v>91.04793082680891</v>
      </c>
      <c r="F38" s="19">
        <f t="shared" si="1"/>
        <v>131.23741546932808</v>
      </c>
      <c r="G38" s="20">
        <f t="shared" si="0"/>
        <v>0.5904006613845278</v>
      </c>
    </row>
    <row r="39" spans="1:7" ht="12.75">
      <c r="A39" s="16"/>
      <c r="B39" s="26" t="s">
        <v>56</v>
      </c>
      <c r="C39" s="18">
        <v>1991</v>
      </c>
      <c r="D39" s="19">
        <f>264466.961/1196.68</f>
        <v>221.00056907443928</v>
      </c>
      <c r="E39" s="19">
        <f>105825.01/1196.68</f>
        <v>88.43217067219305</v>
      </c>
      <c r="F39" s="19">
        <f t="shared" si="1"/>
        <v>132.56839840224623</v>
      </c>
      <c r="G39" s="20">
        <f t="shared" si="0"/>
        <v>0.5998554617187136</v>
      </c>
    </row>
    <row r="40" spans="1:7" ht="12.75">
      <c r="A40" s="16"/>
      <c r="B40" s="26" t="s">
        <v>41</v>
      </c>
      <c r="C40" s="18">
        <v>1991</v>
      </c>
      <c r="D40" s="19">
        <f>276536.029/1286.84</f>
        <v>214.89542522768954</v>
      </c>
      <c r="E40" s="19">
        <f>105825.01/1286.84</f>
        <v>82.23633862795685</v>
      </c>
      <c r="F40" s="19">
        <f t="shared" si="1"/>
        <v>132.6590865997327</v>
      </c>
      <c r="G40" s="20">
        <f t="shared" si="0"/>
        <v>0.6173192680075695</v>
      </c>
    </row>
    <row r="41" spans="1:7" ht="12.75">
      <c r="A41" s="16"/>
      <c r="B41" s="26" t="s">
        <v>15</v>
      </c>
      <c r="C41" s="18">
        <v>1992</v>
      </c>
      <c r="D41" s="19">
        <f>289868.139/1336.13</f>
        <v>216.946059889382</v>
      </c>
      <c r="E41" s="19">
        <f>121125.01/1336.13</f>
        <v>90.65361154977434</v>
      </c>
      <c r="F41" s="19">
        <f t="shared" si="1"/>
        <v>126.29244833960767</v>
      </c>
      <c r="G41" s="20">
        <f t="shared" si="0"/>
        <v>0.5821375525510929</v>
      </c>
    </row>
    <row r="42" spans="1:7" ht="12.75">
      <c r="A42" s="16"/>
      <c r="B42" s="26" t="s">
        <v>24</v>
      </c>
      <c r="C42" s="18">
        <v>1992</v>
      </c>
      <c r="D42" s="19">
        <f>300112.813/1345.47</f>
        <v>223.05425836324855</v>
      </c>
      <c r="E42" s="19">
        <f>121125.01/1345.47</f>
        <v>90.02431120723612</v>
      </c>
      <c r="F42" s="19">
        <f t="shared" si="1"/>
        <v>133.02994715601244</v>
      </c>
      <c r="G42" s="20">
        <f t="shared" si="0"/>
        <v>0.5964017371027742</v>
      </c>
    </row>
    <row r="43" spans="1:7" ht="12.75">
      <c r="A43" s="16"/>
      <c r="B43" s="26" t="s">
        <v>16</v>
      </c>
      <c r="C43" s="18">
        <v>1992</v>
      </c>
      <c r="D43" s="19">
        <f>309585.628/1342.13</f>
        <v>230.66739287550385</v>
      </c>
      <c r="E43" s="19">
        <f>121125.01/1342.13</f>
        <v>90.24834405012926</v>
      </c>
      <c r="F43" s="19">
        <f t="shared" si="1"/>
        <v>140.4190488253746</v>
      </c>
      <c r="G43" s="20">
        <f t="shared" si="0"/>
        <v>0.6087511853101916</v>
      </c>
    </row>
    <row r="44" spans="1:7" ht="12.75">
      <c r="A44" s="16"/>
      <c r="B44" s="26" t="s">
        <v>25</v>
      </c>
      <c r="C44" s="18">
        <v>1992</v>
      </c>
      <c r="D44" s="19">
        <f>325864.836/1384.96</f>
        <v>235.2882653650647</v>
      </c>
      <c r="E44" s="19">
        <f>121125.01/1384.96</f>
        <v>87.4574067121072</v>
      </c>
      <c r="F44" s="19">
        <f t="shared" si="1"/>
        <v>147.8308586529575</v>
      </c>
      <c r="G44" s="20">
        <f t="shared" si="0"/>
        <v>0.6282967763971932</v>
      </c>
    </row>
    <row r="45" spans="1:7" ht="12.75">
      <c r="A45" s="16"/>
      <c r="B45" s="26" t="s">
        <v>21</v>
      </c>
      <c r="C45" s="18">
        <v>1992</v>
      </c>
      <c r="D45" s="19">
        <f>338425.087/1453.01</f>
        <v>232.9131162208106</v>
      </c>
      <c r="E45" s="19">
        <f>121125.01/1453.01</f>
        <v>83.36144279805369</v>
      </c>
      <c r="F45" s="19">
        <f t="shared" si="1"/>
        <v>149.5516734227569</v>
      </c>
      <c r="G45" s="20">
        <f t="shared" si="0"/>
        <v>0.6420921064873657</v>
      </c>
    </row>
    <row r="46" spans="1:7" ht="12.75">
      <c r="A46" s="16"/>
      <c r="B46" s="26" t="s">
        <v>18</v>
      </c>
      <c r="C46" s="18">
        <v>1992</v>
      </c>
      <c r="D46" s="19">
        <f>350915.169/1490.31</f>
        <v>235.46454697344848</v>
      </c>
      <c r="E46" s="19">
        <f>121125.01/1490.31</f>
        <v>81.27504344733646</v>
      </c>
      <c r="F46" s="19">
        <f t="shared" si="1"/>
        <v>154.18950352611202</v>
      </c>
      <c r="G46" s="20">
        <f t="shared" si="0"/>
        <v>0.6548310797017726</v>
      </c>
    </row>
    <row r="47" spans="1:7" ht="12.75">
      <c r="A47" s="16"/>
      <c r="B47" s="26" t="s">
        <v>13</v>
      </c>
      <c r="C47" s="18">
        <v>1992</v>
      </c>
      <c r="D47" s="19">
        <f>362212.378/1530.54</f>
        <v>236.65659048440423</v>
      </c>
      <c r="E47" s="19">
        <f>121125.01/1530.54</f>
        <v>79.13874188195015</v>
      </c>
      <c r="F47" s="19">
        <f t="shared" si="1"/>
        <v>157.51784860245408</v>
      </c>
      <c r="G47" s="20">
        <f>+F47/D47</f>
        <v>0.6655967124348248</v>
      </c>
    </row>
    <row r="48" spans="1:7" ht="12.75">
      <c r="A48" s="21" t="s">
        <v>26</v>
      </c>
      <c r="B48" s="22" t="s">
        <v>17</v>
      </c>
      <c r="C48" s="23">
        <v>1992</v>
      </c>
      <c r="D48" s="24">
        <f>378842.431/1691.64</f>
        <v>223.94979487361374</v>
      </c>
      <c r="E48" s="27">
        <f>124369/1691.64</f>
        <v>73.51977962214183</v>
      </c>
      <c r="F48" s="27">
        <f>+D48-E48</f>
        <v>150.4300152514719</v>
      </c>
      <c r="G48" s="25">
        <f>+F48/D48</f>
        <v>0.6717131191674778</v>
      </c>
    </row>
    <row r="49" spans="1:7" ht="12.75">
      <c r="A49" s="21"/>
      <c r="B49" s="22" t="s">
        <v>18</v>
      </c>
      <c r="C49" s="23">
        <v>1993</v>
      </c>
      <c r="D49" s="24">
        <f>557580/1908.09</f>
        <v>292.2189204911718</v>
      </c>
      <c r="E49" s="24">
        <f>246598.34/1908.09</f>
        <v>129.2383168508823</v>
      </c>
      <c r="F49" s="27">
        <f>+D49-E49</f>
        <v>162.98060364028947</v>
      </c>
      <c r="G49" s="25">
        <f aca="true" t="shared" si="2" ref="G49:G112">+F49/D49</f>
        <v>0.5577346031062806</v>
      </c>
    </row>
    <row r="50" spans="1:7" ht="12.75">
      <c r="A50" s="21"/>
      <c r="B50" s="22" t="s">
        <v>13</v>
      </c>
      <c r="C50" s="23">
        <v>1993</v>
      </c>
      <c r="D50" s="24">
        <f>566808/1926.98</f>
        <v>294.14316702819957</v>
      </c>
      <c r="E50" s="24">
        <f>281213.34/1926.98</f>
        <v>145.93474763619759</v>
      </c>
      <c r="F50" s="27">
        <f>+D50-E50</f>
        <v>148.20841939200199</v>
      </c>
      <c r="G50" s="25">
        <f t="shared" si="2"/>
        <v>0.503864906635051</v>
      </c>
    </row>
    <row r="51" spans="1:7" ht="12.75">
      <c r="A51" s="21"/>
      <c r="B51" s="22" t="s">
        <v>17</v>
      </c>
      <c r="C51" s="23">
        <v>1993</v>
      </c>
      <c r="D51" s="24">
        <f>575597/1946.33</f>
        <v>295.73453628110343</v>
      </c>
      <c r="E51" s="24">
        <f>281213.34/1946.33</f>
        <v>144.48389533121312</v>
      </c>
      <c r="F51" s="27">
        <f>+D51-E51</f>
        <v>151.2506409498903</v>
      </c>
      <c r="G51" s="25">
        <f t="shared" si="2"/>
        <v>0.5114405738737345</v>
      </c>
    </row>
    <row r="52" spans="1:7" ht="12.75">
      <c r="A52" s="21"/>
      <c r="B52" s="22" t="s">
        <v>20</v>
      </c>
      <c r="C52" s="23">
        <v>1993</v>
      </c>
      <c r="D52" s="24">
        <f>588754/1951.24</f>
        <v>301.7332568008036</v>
      </c>
      <c r="E52" s="24">
        <f>282823.34/1951.24</f>
        <v>144.94543982288187</v>
      </c>
      <c r="F52" s="27">
        <f aca="true" t="shared" si="3" ref="F52:F95">+D52-E52</f>
        <v>156.78781697792172</v>
      </c>
      <c r="G52" s="25">
        <f t="shared" si="2"/>
        <v>0.5196239176294344</v>
      </c>
    </row>
    <row r="53" spans="1:7" ht="12.75">
      <c r="A53" s="21"/>
      <c r="B53" s="22" t="s">
        <v>22</v>
      </c>
      <c r="C53" s="23">
        <v>1993</v>
      </c>
      <c r="D53" s="24">
        <f>603732/1948.31</f>
        <v>309.8747119298264</v>
      </c>
      <c r="E53" s="24">
        <f>287653.34/1948.31</f>
        <v>147.64249015813706</v>
      </c>
      <c r="F53" s="27">
        <f t="shared" si="3"/>
        <v>162.23222177168932</v>
      </c>
      <c r="G53" s="25">
        <f t="shared" si="2"/>
        <v>0.5235413395347605</v>
      </c>
    </row>
    <row r="54" spans="1:7" ht="12.75">
      <c r="A54" s="21"/>
      <c r="B54" s="22" t="s">
        <v>12</v>
      </c>
      <c r="C54" s="23">
        <v>1993</v>
      </c>
      <c r="D54" s="24">
        <f>613140/1977.85</f>
        <v>310.00328639684506</v>
      </c>
      <c r="E54" s="24">
        <f>287653.34/1977.85</f>
        <v>145.43738908410648</v>
      </c>
      <c r="F54" s="27">
        <f t="shared" si="3"/>
        <v>164.56589731273857</v>
      </c>
      <c r="G54" s="25">
        <f t="shared" si="2"/>
        <v>0.5308521055550118</v>
      </c>
    </row>
    <row r="55" spans="1:7" ht="12.75">
      <c r="A55" s="21"/>
      <c r="B55" s="22" t="s">
        <v>23</v>
      </c>
      <c r="C55" s="23">
        <v>1993</v>
      </c>
      <c r="D55" s="24">
        <f>617923/2014.7</f>
        <v>306.70720206482355</v>
      </c>
      <c r="E55" s="24">
        <f>287653.34/2014.7</f>
        <v>142.77725715987492</v>
      </c>
      <c r="F55" s="27">
        <f t="shared" si="3"/>
        <v>163.92994490494863</v>
      </c>
      <c r="G55" s="25">
        <f t="shared" si="2"/>
        <v>0.5344835197913008</v>
      </c>
    </row>
    <row r="56" spans="1:7" ht="12.75">
      <c r="A56" s="21"/>
      <c r="B56" s="22" t="s">
        <v>15</v>
      </c>
      <c r="C56" s="23">
        <v>1994</v>
      </c>
      <c r="D56" s="24">
        <f>657900/2082.16</f>
        <v>315.96995427824953</v>
      </c>
      <c r="E56" s="24">
        <f>339173.34/2082.16</f>
        <v>162.89494563338076</v>
      </c>
      <c r="F56" s="27">
        <f t="shared" si="3"/>
        <v>153.07500864486877</v>
      </c>
      <c r="G56" s="25">
        <f t="shared" si="2"/>
        <v>0.4844606475148198</v>
      </c>
    </row>
    <row r="57" spans="1:7" ht="12.75">
      <c r="A57" s="21"/>
      <c r="B57" s="22" t="s">
        <v>24</v>
      </c>
      <c r="C57" s="23">
        <v>1994</v>
      </c>
      <c r="D57" s="24">
        <f>679466/2068.7</f>
        <v>328.4507178421231</v>
      </c>
      <c r="E57" s="24">
        <f>339173.34/2068.7</f>
        <v>163.95482186880653</v>
      </c>
      <c r="F57" s="27">
        <f t="shared" si="3"/>
        <v>164.49589597331655</v>
      </c>
      <c r="G57" s="25">
        <f t="shared" si="2"/>
        <v>0.5008236762398707</v>
      </c>
    </row>
    <row r="58" spans="1:7" ht="12.75">
      <c r="A58" s="21"/>
      <c r="B58" s="22" t="s">
        <v>16</v>
      </c>
      <c r="C58" s="23">
        <v>1994</v>
      </c>
      <c r="D58" s="24">
        <f>701925/2121.45</f>
        <v>330.8703952485329</v>
      </c>
      <c r="E58" s="24">
        <f>339173.34/2121.45</f>
        <v>159.87807395884892</v>
      </c>
      <c r="F58" s="27">
        <f t="shared" si="3"/>
        <v>170.99232128968396</v>
      </c>
      <c r="G58" s="25">
        <f t="shared" si="2"/>
        <v>0.5167954696014532</v>
      </c>
    </row>
    <row r="59" spans="1:7" ht="12.75">
      <c r="A59" s="21"/>
      <c r="B59" s="28" t="s">
        <v>25</v>
      </c>
      <c r="C59" s="23">
        <v>1994</v>
      </c>
      <c r="D59" s="29">
        <f>719981/2161.27</f>
        <v>333.1286697173421</v>
      </c>
      <c r="E59" s="29">
        <f>339173.34/2161.27</f>
        <v>156.9324239914495</v>
      </c>
      <c r="F59" s="27">
        <f t="shared" si="3"/>
        <v>176.19624572589262</v>
      </c>
      <c r="G59" s="25">
        <f t="shared" si="2"/>
        <v>0.5289134852169709</v>
      </c>
    </row>
    <row r="60" spans="1:7" ht="12.75">
      <c r="A60" s="21"/>
      <c r="B60" s="28" t="s">
        <v>21</v>
      </c>
      <c r="C60" s="23">
        <v>1994</v>
      </c>
      <c r="D60" s="29">
        <f>731723/2170.38</f>
        <v>337.14050074180557</v>
      </c>
      <c r="E60" s="29">
        <f>339173.34/2170.38</f>
        <v>156.27371243745336</v>
      </c>
      <c r="F60" s="27">
        <f t="shared" si="3"/>
        <v>180.8667883043522</v>
      </c>
      <c r="G60" s="25">
        <f t="shared" si="2"/>
        <v>0.5364730369279085</v>
      </c>
    </row>
    <row r="61" spans="1:7" ht="12.75">
      <c r="A61" s="21"/>
      <c r="B61" s="28" t="s">
        <v>18</v>
      </c>
      <c r="C61" s="23">
        <v>1994</v>
      </c>
      <c r="D61" s="29">
        <f>744570/2180.99</f>
        <v>341.3908362716015</v>
      </c>
      <c r="E61" s="29">
        <f>339173.34/2180.99</f>
        <v>155.51347782429082</v>
      </c>
      <c r="F61" s="27">
        <f t="shared" si="3"/>
        <v>185.87735844731066</v>
      </c>
      <c r="G61" s="25">
        <f t="shared" si="2"/>
        <v>0.5444708489463718</v>
      </c>
    </row>
    <row r="62" spans="1:7" ht="12.75">
      <c r="A62" s="21"/>
      <c r="B62" s="28" t="s">
        <v>13</v>
      </c>
      <c r="C62" s="23">
        <v>1994</v>
      </c>
      <c r="D62" s="29">
        <f>754187/2199.46</f>
        <v>342.89643821665317</v>
      </c>
      <c r="E62" s="29">
        <f>431480/2199.46</f>
        <v>196.17542487701527</v>
      </c>
      <c r="F62" s="27">
        <f t="shared" si="3"/>
        <v>146.7210133396379</v>
      </c>
      <c r="G62" s="25">
        <f t="shared" si="2"/>
        <v>0.427887248122813</v>
      </c>
    </row>
    <row r="63" spans="1:7" ht="12.75">
      <c r="A63" s="21"/>
      <c r="B63" s="28" t="s">
        <v>17</v>
      </c>
      <c r="C63" s="23">
        <v>1994</v>
      </c>
      <c r="D63" s="29">
        <f>765234/2241.19</f>
        <v>341.4409309340127</v>
      </c>
      <c r="E63" s="29">
        <f>431480/2241.19</f>
        <v>192.5227223037761</v>
      </c>
      <c r="F63" s="27">
        <f t="shared" si="3"/>
        <v>148.91820863023662</v>
      </c>
      <c r="G63" s="25">
        <f t="shared" si="2"/>
        <v>0.43614632909672074</v>
      </c>
    </row>
    <row r="64" spans="1:7" ht="12.75">
      <c r="A64" s="21"/>
      <c r="B64" s="28" t="s">
        <v>20</v>
      </c>
      <c r="C64" s="23">
        <v>1994</v>
      </c>
      <c r="D64" s="29">
        <f>777623/2262.92</f>
        <v>343.63698230604706</v>
      </c>
      <c r="E64" s="29">
        <f>431480/2262.92</f>
        <v>190.6739964293921</v>
      </c>
      <c r="F64" s="27">
        <f t="shared" si="3"/>
        <v>152.96298587665495</v>
      </c>
      <c r="G64" s="25">
        <f t="shared" si="2"/>
        <v>0.44512958078657655</v>
      </c>
    </row>
    <row r="65" spans="1:7" ht="12.75">
      <c r="A65" s="21"/>
      <c r="B65" s="28" t="s">
        <v>22</v>
      </c>
      <c r="C65" s="23">
        <v>1994</v>
      </c>
      <c r="D65" s="29">
        <f>791710/2279.27</f>
        <v>347.3524417905733</v>
      </c>
      <c r="E65" s="29">
        <f>431480/2279.27</f>
        <v>189.3062252387826</v>
      </c>
      <c r="F65" s="27">
        <f t="shared" si="3"/>
        <v>158.04621655179074</v>
      </c>
      <c r="G65" s="25">
        <f t="shared" si="2"/>
        <v>0.4550024630230767</v>
      </c>
    </row>
    <row r="66" spans="1:7" ht="12.75">
      <c r="A66" s="21"/>
      <c r="B66" s="28" t="s">
        <v>12</v>
      </c>
      <c r="C66" s="23">
        <v>1994</v>
      </c>
      <c r="D66" s="29">
        <f>807400/2303.73</f>
        <v>350.475099078451</v>
      </c>
      <c r="E66" s="29">
        <f>431480/2303.73</f>
        <v>187.2962543353605</v>
      </c>
      <c r="F66" s="27">
        <f t="shared" si="3"/>
        <v>163.17884474309054</v>
      </c>
      <c r="G66" s="25">
        <f t="shared" si="2"/>
        <v>0.4655932623235075</v>
      </c>
    </row>
    <row r="67" spans="1:7" ht="12.75">
      <c r="A67" s="21"/>
      <c r="B67" s="30" t="s">
        <v>23</v>
      </c>
      <c r="C67" s="23">
        <v>1994</v>
      </c>
      <c r="D67" s="27">
        <f>831727/2299.28</f>
        <v>361.7336731498556</v>
      </c>
      <c r="E67" s="27">
        <f>431480/2299.28</f>
        <v>187.65874534636927</v>
      </c>
      <c r="F67" s="27">
        <f t="shared" si="3"/>
        <v>174.0749278034863</v>
      </c>
      <c r="G67" s="25">
        <f t="shared" si="2"/>
        <v>0.4812240073966578</v>
      </c>
    </row>
    <row r="68" spans="1:7" ht="12.75">
      <c r="A68" s="21"/>
      <c r="B68" s="30" t="s">
        <v>15</v>
      </c>
      <c r="C68" s="31">
        <v>1995</v>
      </c>
      <c r="D68" s="27">
        <f>858832/2348.91</f>
        <v>365.6300156242683</v>
      </c>
      <c r="E68" s="27">
        <f>533580.84/2348.91</f>
        <v>227.16104065289858</v>
      </c>
      <c r="F68" s="27">
        <f t="shared" si="3"/>
        <v>138.46897497136973</v>
      </c>
      <c r="G68" s="25">
        <f t="shared" si="2"/>
        <v>0.37871336885444423</v>
      </c>
    </row>
    <row r="69" spans="1:7" ht="12.75">
      <c r="A69" s="21"/>
      <c r="B69" s="30" t="s">
        <v>24</v>
      </c>
      <c r="C69" s="31">
        <v>1995</v>
      </c>
      <c r="D69" s="27">
        <f>876887/2353.18</f>
        <v>372.63915212605923</v>
      </c>
      <c r="E69" s="27">
        <f>533580.84/2353.18</f>
        <v>226.74884199253776</v>
      </c>
      <c r="F69" s="27">
        <f t="shared" si="3"/>
        <v>145.89031013352147</v>
      </c>
      <c r="G69" s="25">
        <f t="shared" si="2"/>
        <v>0.39150558737898955</v>
      </c>
    </row>
    <row r="70" spans="1:7" ht="12.75">
      <c r="A70" s="21"/>
      <c r="B70" s="30" t="s">
        <v>16</v>
      </c>
      <c r="C70" s="31">
        <v>1995</v>
      </c>
      <c r="D70" s="27">
        <f>893171/2406.9</f>
        <v>371.08770617807136</v>
      </c>
      <c r="E70" s="27">
        <f>533580.84/2353.18</f>
        <v>226.74884199253776</v>
      </c>
      <c r="F70" s="27">
        <f t="shared" si="3"/>
        <v>144.3388641855336</v>
      </c>
      <c r="G70" s="25">
        <f t="shared" si="2"/>
        <v>0.3889615898950602</v>
      </c>
    </row>
    <row r="71" spans="1:7" ht="12.75">
      <c r="A71" s="21"/>
      <c r="B71" s="30" t="s">
        <v>25</v>
      </c>
      <c r="C71" s="31">
        <v>1995</v>
      </c>
      <c r="D71" s="27">
        <f>908054/2433.48</f>
        <v>373.15038545621906</v>
      </c>
      <c r="E71" s="27">
        <f>533580.84/2353.18</f>
        <v>226.74884199253776</v>
      </c>
      <c r="F71" s="27">
        <f t="shared" si="3"/>
        <v>146.4015434636813</v>
      </c>
      <c r="G71" s="25">
        <f t="shared" si="2"/>
        <v>0.392339252938701</v>
      </c>
    </row>
    <row r="72" spans="1:7" ht="12.75">
      <c r="A72" s="21"/>
      <c r="B72" s="30" t="s">
        <v>21</v>
      </c>
      <c r="C72" s="31">
        <v>1995</v>
      </c>
      <c r="D72" s="27">
        <f>924438/2458.45</f>
        <v>376.02473102971385</v>
      </c>
      <c r="E72" s="27">
        <f>533580.84/2353.18</f>
        <v>226.74884199253776</v>
      </c>
      <c r="F72" s="27">
        <f t="shared" si="3"/>
        <v>149.27588903717609</v>
      </c>
      <c r="G72" s="25">
        <f t="shared" si="2"/>
        <v>0.39698423193707477</v>
      </c>
    </row>
    <row r="73" spans="1:7" ht="12.75">
      <c r="A73" s="21"/>
      <c r="B73" s="30" t="s">
        <v>18</v>
      </c>
      <c r="C73" s="31">
        <v>1995</v>
      </c>
      <c r="D73" s="27">
        <f>939524/2532.87</f>
        <v>370.9325784584286</v>
      </c>
      <c r="E73" s="27">
        <f>533580.84/2353.18</f>
        <v>226.74884199253776</v>
      </c>
      <c r="F73" s="27">
        <f t="shared" si="3"/>
        <v>144.18373646589086</v>
      </c>
      <c r="G73" s="25">
        <f t="shared" si="2"/>
        <v>0.38870604751167714</v>
      </c>
    </row>
    <row r="74" spans="1:7" ht="12.75">
      <c r="A74" s="21"/>
      <c r="B74" s="30" t="s">
        <v>13</v>
      </c>
      <c r="C74" s="31">
        <v>1995</v>
      </c>
      <c r="D74" s="27">
        <f>951695/2575.32</f>
        <v>369.5443673019275</v>
      </c>
      <c r="E74" s="27">
        <f>571952.5/2575.32</f>
        <v>222.0898762095584</v>
      </c>
      <c r="F74" s="27">
        <f t="shared" si="3"/>
        <v>147.45449109236907</v>
      </c>
      <c r="G74" s="25">
        <f t="shared" si="2"/>
        <v>0.3990170170064989</v>
      </c>
    </row>
    <row r="75" spans="1:7" ht="12.75">
      <c r="A75" s="21"/>
      <c r="B75" s="30" t="s">
        <v>17</v>
      </c>
      <c r="C75" s="31">
        <v>1995</v>
      </c>
      <c r="D75" s="27">
        <f>964457/2594.51</f>
        <v>371.7299220276661</v>
      </c>
      <c r="E75" s="27">
        <f>571952.5/2575.32</f>
        <v>222.0898762095584</v>
      </c>
      <c r="F75" s="27">
        <f t="shared" si="3"/>
        <v>149.64004581810767</v>
      </c>
      <c r="G75" s="25">
        <f t="shared" si="2"/>
        <v>0.40255044576952476</v>
      </c>
    </row>
    <row r="76" spans="1:7" ht="12.75">
      <c r="A76" s="21"/>
      <c r="B76" s="30" t="s">
        <v>20</v>
      </c>
      <c r="C76" s="31">
        <v>1995</v>
      </c>
      <c r="D76" s="27">
        <f>995604/2632.68</f>
        <v>378.17129313095404</v>
      </c>
      <c r="E76" s="27">
        <f>578392.5/2594.51</f>
        <v>222.9293778015887</v>
      </c>
      <c r="F76" s="27">
        <f t="shared" si="3"/>
        <v>155.24191532936533</v>
      </c>
      <c r="G76" s="25">
        <f t="shared" si="2"/>
        <v>0.41050687386683204</v>
      </c>
    </row>
    <row r="77" spans="1:7" ht="12.75">
      <c r="A77" s="21"/>
      <c r="B77" s="30" t="s">
        <v>22</v>
      </c>
      <c r="C77" s="31">
        <v>1995</v>
      </c>
      <c r="D77" s="27">
        <f>1019271/2679.52</f>
        <v>380.39313011285606</v>
      </c>
      <c r="E77" s="27">
        <f>578392.5/2594.51</f>
        <v>222.9293778015887</v>
      </c>
      <c r="F77" s="27">
        <f t="shared" si="3"/>
        <v>157.46375231126734</v>
      </c>
      <c r="G77" s="25">
        <f t="shared" si="2"/>
        <v>0.4139500423273958</v>
      </c>
    </row>
    <row r="78" spans="1:7" ht="12.75">
      <c r="A78" s="21"/>
      <c r="B78" s="30" t="s">
        <v>12</v>
      </c>
      <c r="C78" s="31">
        <v>1995</v>
      </c>
      <c r="D78" s="27">
        <f>1036873/2805.95</f>
        <v>369.52654181293326</v>
      </c>
      <c r="E78" s="27">
        <f>578392.5/2594.51</f>
        <v>222.9293778015887</v>
      </c>
      <c r="F78" s="27">
        <f t="shared" si="3"/>
        <v>146.59716401134455</v>
      </c>
      <c r="G78" s="25">
        <f t="shared" si="2"/>
        <v>0.39671619606030073</v>
      </c>
    </row>
    <row r="79" spans="1:7" ht="12.75">
      <c r="A79" s="21"/>
      <c r="B79" s="30" t="s">
        <v>23</v>
      </c>
      <c r="C79" s="31">
        <v>1995</v>
      </c>
      <c r="D79" s="27">
        <f>1053989/2917.82</f>
        <v>361.2248185289017</v>
      </c>
      <c r="E79" s="27">
        <f>578392.5/2594.51</f>
        <v>222.9293778015887</v>
      </c>
      <c r="F79" s="27">
        <f t="shared" si="3"/>
        <v>138.295440727313</v>
      </c>
      <c r="G79" s="25">
        <f t="shared" si="2"/>
        <v>0.3828514366496884</v>
      </c>
    </row>
    <row r="80" spans="1:7" ht="12.75">
      <c r="A80" s="21"/>
      <c r="B80" s="30" t="s">
        <v>54</v>
      </c>
      <c r="C80" s="31">
        <v>1996</v>
      </c>
      <c r="D80" s="27">
        <f>1083559/2923.55</f>
        <v>370.63125309982723</v>
      </c>
      <c r="E80" s="27">
        <f aca="true" t="shared" si="4" ref="E80:E85">730539/2923.55</f>
        <v>249.8807956080792</v>
      </c>
      <c r="F80" s="27">
        <f t="shared" si="3"/>
        <v>120.75045749174802</v>
      </c>
      <c r="G80" s="25">
        <f t="shared" si="2"/>
        <v>0.32579674941558323</v>
      </c>
    </row>
    <row r="81" spans="1:7" ht="12.75">
      <c r="A81" s="21"/>
      <c r="B81" s="30" t="s">
        <v>55</v>
      </c>
      <c r="C81" s="31">
        <v>1996</v>
      </c>
      <c r="D81" s="27">
        <f>1113233/2951.21</f>
        <v>377.21239762673616</v>
      </c>
      <c r="E81" s="27">
        <f t="shared" si="4"/>
        <v>249.8807956080792</v>
      </c>
      <c r="F81" s="27">
        <f t="shared" si="3"/>
        <v>127.33160201865695</v>
      </c>
      <c r="G81" s="25">
        <f t="shared" si="2"/>
        <v>0.33755943023022184</v>
      </c>
    </row>
    <row r="82" spans="1:7" ht="12.75">
      <c r="A82" s="21"/>
      <c r="B82" s="30" t="s">
        <v>46</v>
      </c>
      <c r="C82" s="31">
        <v>1996</v>
      </c>
      <c r="D82" s="27">
        <f>1143099/3023.72</f>
        <v>378.04393263926556</v>
      </c>
      <c r="E82" s="27">
        <f t="shared" si="4"/>
        <v>249.8807956080792</v>
      </c>
      <c r="F82" s="27">
        <f t="shared" si="3"/>
        <v>128.16313703118635</v>
      </c>
      <c r="G82" s="25">
        <f t="shared" si="2"/>
        <v>0.33901651624569595</v>
      </c>
    </row>
    <row r="83" spans="1:7" ht="12.75">
      <c r="A83" s="21"/>
      <c r="B83" s="30" t="s">
        <v>38</v>
      </c>
      <c r="C83" s="31">
        <v>1996</v>
      </c>
      <c r="D83" s="27">
        <f>1165373/3072.53</f>
        <v>379.2877530894735</v>
      </c>
      <c r="E83" s="27">
        <f t="shared" si="4"/>
        <v>249.8807956080792</v>
      </c>
      <c r="F83" s="27">
        <f t="shared" si="3"/>
        <v>129.40695748139427</v>
      </c>
      <c r="G83" s="25">
        <f t="shared" si="2"/>
        <v>0.3411841179350374</v>
      </c>
    </row>
    <row r="84" spans="1:7" ht="12.75">
      <c r="A84" s="21"/>
      <c r="B84" s="30" t="s">
        <v>39</v>
      </c>
      <c r="C84" s="31">
        <v>1996</v>
      </c>
      <c r="D84" s="27">
        <f>1175295/3117.55</f>
        <v>376.9931516735898</v>
      </c>
      <c r="E84" s="27">
        <f t="shared" si="4"/>
        <v>249.8807956080792</v>
      </c>
      <c r="F84" s="27">
        <f t="shared" si="3"/>
        <v>127.1123560655106</v>
      </c>
      <c r="G84" s="25">
        <f t="shared" si="2"/>
        <v>0.3371741781016958</v>
      </c>
    </row>
    <row r="85" spans="1:7" ht="12.75">
      <c r="A85" s="21"/>
      <c r="B85" s="30" t="s">
        <v>40</v>
      </c>
      <c r="C85" s="31">
        <v>1996</v>
      </c>
      <c r="D85" s="27">
        <f>1201035/3138.82</f>
        <v>382.6390172102892</v>
      </c>
      <c r="E85" s="27">
        <f t="shared" si="4"/>
        <v>249.8807956080792</v>
      </c>
      <c r="F85" s="27">
        <f t="shared" si="3"/>
        <v>132.75822160220997</v>
      </c>
      <c r="G85" s="25">
        <f t="shared" si="2"/>
        <v>0.34695421959347456</v>
      </c>
    </row>
    <row r="86" spans="1:7" ht="12.75">
      <c r="A86" s="21"/>
      <c r="B86" s="30" t="s">
        <v>47</v>
      </c>
      <c r="C86" s="31">
        <v>1996</v>
      </c>
      <c r="D86" s="27">
        <f>1225233/3178.02</f>
        <v>385.5334453527668</v>
      </c>
      <c r="E86" s="27">
        <f aca="true" t="shared" si="5" ref="E86:E91">827138/3178.02</f>
        <v>260.26834318223297</v>
      </c>
      <c r="F86" s="27">
        <f t="shared" si="3"/>
        <v>125.26510217053385</v>
      </c>
      <c r="G86" s="25">
        <f t="shared" si="2"/>
        <v>0.324913710290206</v>
      </c>
    </row>
    <row r="87" spans="1:7" ht="12.75">
      <c r="A87" s="16" t="s">
        <v>32</v>
      </c>
      <c r="B87" s="32" t="s">
        <v>48</v>
      </c>
      <c r="C87" s="33">
        <v>1996</v>
      </c>
      <c r="D87" s="34">
        <f>1249701/3272.21</f>
        <v>381.9134468753534</v>
      </c>
      <c r="E87" s="34">
        <f t="shared" si="5"/>
        <v>260.26834318223297</v>
      </c>
      <c r="F87" s="34">
        <f t="shared" si="3"/>
        <v>121.6451036931204</v>
      </c>
      <c r="G87" s="20">
        <f t="shared" si="2"/>
        <v>0.3185148485563071</v>
      </c>
    </row>
    <row r="88" spans="1:7" ht="12.75">
      <c r="A88" s="16"/>
      <c r="B88" s="32" t="s">
        <v>49</v>
      </c>
      <c r="C88" s="33">
        <v>1996</v>
      </c>
      <c r="D88" s="34">
        <f>1279034/3296.72</f>
        <v>387.97168094348325</v>
      </c>
      <c r="E88" s="34">
        <f t="shared" si="5"/>
        <v>260.26834318223297</v>
      </c>
      <c r="F88" s="34">
        <f t="shared" si="3"/>
        <v>127.70333776125028</v>
      </c>
      <c r="G88" s="20">
        <f t="shared" si="2"/>
        <v>0.3291563380365721</v>
      </c>
    </row>
    <row r="89" spans="1:7" ht="12.75">
      <c r="A89" s="16"/>
      <c r="B89" s="32" t="s">
        <v>50</v>
      </c>
      <c r="C89" s="33">
        <v>1996</v>
      </c>
      <c r="D89" s="34">
        <f>1311802/3323.8</f>
        <v>394.66935435345084</v>
      </c>
      <c r="E89" s="34">
        <f t="shared" si="5"/>
        <v>260.26834318223297</v>
      </c>
      <c r="F89" s="34">
        <f t="shared" si="3"/>
        <v>134.40101117121787</v>
      </c>
      <c r="G89" s="20">
        <f t="shared" si="2"/>
        <v>0.34054078354118533</v>
      </c>
    </row>
    <row r="90" spans="1:7" ht="12.75">
      <c r="A90" s="16"/>
      <c r="B90" s="32" t="s">
        <v>56</v>
      </c>
      <c r="C90" s="33">
        <v>1996</v>
      </c>
      <c r="D90" s="34">
        <f>1329621/3405.56</f>
        <v>390.426537779396</v>
      </c>
      <c r="E90" s="34">
        <f t="shared" si="5"/>
        <v>260.26834318223297</v>
      </c>
      <c r="F90" s="34">
        <f t="shared" si="3"/>
        <v>130.15819459716306</v>
      </c>
      <c r="G90" s="20">
        <f t="shared" si="2"/>
        <v>0.33337435343779515</v>
      </c>
    </row>
    <row r="91" spans="1:7" ht="12.75">
      <c r="A91" s="16"/>
      <c r="B91" s="32" t="s">
        <v>41</v>
      </c>
      <c r="C91" s="33">
        <v>1996</v>
      </c>
      <c r="D91" s="34">
        <f>1351061/3592.21</f>
        <v>376.1085793981978</v>
      </c>
      <c r="E91" s="34">
        <f t="shared" si="5"/>
        <v>260.26834318223297</v>
      </c>
      <c r="F91" s="34">
        <f t="shared" si="3"/>
        <v>115.84023621596481</v>
      </c>
      <c r="G91" s="20">
        <f t="shared" si="2"/>
        <v>0.3079967928445503</v>
      </c>
    </row>
    <row r="92" spans="1:7" ht="12.75">
      <c r="A92" s="16"/>
      <c r="B92" s="32" t="s">
        <v>54</v>
      </c>
      <c r="C92" s="33">
        <v>1997</v>
      </c>
      <c r="D92" s="34">
        <f>1422699/3672.81</f>
        <v>387.35981442002173</v>
      </c>
      <c r="E92" s="34">
        <f aca="true" t="shared" si="6" ref="E92:E97">935008/3672.81</f>
        <v>254.57565188506894</v>
      </c>
      <c r="F92" s="34">
        <f t="shared" si="3"/>
        <v>132.7841625349528</v>
      </c>
      <c r="G92" s="20">
        <f t="shared" si="2"/>
        <v>0.3427928184387562</v>
      </c>
    </row>
    <row r="93" spans="1:7" ht="12.75">
      <c r="A93" s="16"/>
      <c r="B93" s="32" t="s">
        <v>55</v>
      </c>
      <c r="C93" s="33">
        <v>1997</v>
      </c>
      <c r="D93" s="34">
        <f>1470664/3739.57</f>
        <v>393.2708840856034</v>
      </c>
      <c r="E93" s="34">
        <f t="shared" si="6"/>
        <v>254.57565188506894</v>
      </c>
      <c r="F93" s="34">
        <f t="shared" si="3"/>
        <v>138.6952322005345</v>
      </c>
      <c r="G93" s="20">
        <f t="shared" si="2"/>
        <v>0.35267099043707656</v>
      </c>
    </row>
    <row r="94" spans="1:7" ht="12.75">
      <c r="A94" s="35" t="s">
        <v>33</v>
      </c>
      <c r="B94" s="36" t="s">
        <v>46</v>
      </c>
      <c r="C94" s="37">
        <v>1997</v>
      </c>
      <c r="D94" s="38">
        <f>1494343/3784.11</f>
        <v>394.8994611678836</v>
      </c>
      <c r="E94" s="38">
        <f t="shared" si="6"/>
        <v>254.57565188506894</v>
      </c>
      <c r="F94" s="38">
        <f t="shared" si="3"/>
        <v>140.32380928281466</v>
      </c>
      <c r="G94" s="39">
        <f t="shared" si="2"/>
        <v>0.3553405944586964</v>
      </c>
    </row>
    <row r="95" spans="1:7" ht="12.75">
      <c r="A95" s="35"/>
      <c r="B95" s="36" t="s">
        <v>38</v>
      </c>
      <c r="C95" s="37">
        <v>1997</v>
      </c>
      <c r="D95" s="38">
        <f>1528371/3834.08</f>
        <v>398.6278324917581</v>
      </c>
      <c r="E95" s="38">
        <f t="shared" si="6"/>
        <v>254.57565188506894</v>
      </c>
      <c r="F95" s="38">
        <f t="shared" si="3"/>
        <v>144.05218060668918</v>
      </c>
      <c r="G95" s="39">
        <f t="shared" si="2"/>
        <v>0.361370102298784</v>
      </c>
    </row>
    <row r="96" spans="1:7" ht="12.75">
      <c r="A96" s="35"/>
      <c r="B96" s="36" t="s">
        <v>39</v>
      </c>
      <c r="C96" s="37">
        <v>1997</v>
      </c>
      <c r="D96" s="38">
        <f>1542238/3898.22</f>
        <v>395.6262088850809</v>
      </c>
      <c r="E96" s="38">
        <f t="shared" si="6"/>
        <v>254.57565188506894</v>
      </c>
      <c r="F96" s="38">
        <f>+D96-E96</f>
        <v>141.050557000012</v>
      </c>
      <c r="G96" s="39">
        <f t="shared" si="2"/>
        <v>0.3565248050615966</v>
      </c>
    </row>
    <row r="97" spans="1:7" ht="12.75">
      <c r="A97" s="35"/>
      <c r="B97" s="36" t="s">
        <v>40</v>
      </c>
      <c r="C97" s="37">
        <v>1997</v>
      </c>
      <c r="D97" s="38">
        <f>1565405/3954.85</f>
        <v>395.81905761280456</v>
      </c>
      <c r="E97" s="38">
        <f t="shared" si="6"/>
        <v>254.57565188506894</v>
      </c>
      <c r="F97" s="38">
        <f aca="true" t="shared" si="7" ref="F97:F110">+D97-E97</f>
        <v>141.24340572773562</v>
      </c>
      <c r="G97" s="39">
        <f t="shared" si="2"/>
        <v>0.3568383154150748</v>
      </c>
    </row>
    <row r="98" spans="1:7" ht="12.75">
      <c r="A98" s="35"/>
      <c r="B98" s="36" t="s">
        <v>47</v>
      </c>
      <c r="C98" s="37">
        <v>1997</v>
      </c>
      <c r="D98" s="38">
        <f>1603613/4018.64</f>
        <v>399.0437063285092</v>
      </c>
      <c r="E98" s="38">
        <f aca="true" t="shared" si="8" ref="E98:E103">1026913/4018.64</f>
        <v>255.5374455039516</v>
      </c>
      <c r="F98" s="38">
        <f t="shared" si="7"/>
        <v>143.5062608245576</v>
      </c>
      <c r="G98" s="39">
        <f t="shared" si="2"/>
        <v>0.3596254208465509</v>
      </c>
    </row>
    <row r="99" spans="1:7" ht="12.75">
      <c r="A99" s="35"/>
      <c r="B99" s="36" t="s">
        <v>48</v>
      </c>
      <c r="C99" s="37">
        <v>1997</v>
      </c>
      <c r="D99" s="38">
        <f>1630201/4080.24</f>
        <v>399.5355665353019</v>
      </c>
      <c r="E99" s="38">
        <f t="shared" si="8"/>
        <v>255.5374455039516</v>
      </c>
      <c r="F99" s="38">
        <f t="shared" si="7"/>
        <v>143.99812103135028</v>
      </c>
      <c r="G99" s="39">
        <f t="shared" si="2"/>
        <v>0.36041377312181544</v>
      </c>
    </row>
    <row r="100" spans="1:7" ht="12.75">
      <c r="A100" s="35"/>
      <c r="B100" s="36" t="s">
        <v>49</v>
      </c>
      <c r="C100" s="37">
        <v>1997</v>
      </c>
      <c r="D100" s="38">
        <f>1661520/4130.39</f>
        <v>402.2670982643285</v>
      </c>
      <c r="E100" s="38">
        <f t="shared" si="8"/>
        <v>255.5374455039516</v>
      </c>
      <c r="F100" s="38">
        <f t="shared" si="7"/>
        <v>146.72965276037692</v>
      </c>
      <c r="G100" s="39">
        <f t="shared" si="2"/>
        <v>0.3647567832255605</v>
      </c>
    </row>
    <row r="101" spans="1:7" ht="12.75">
      <c r="A101" s="35"/>
      <c r="B101" s="36" t="s">
        <v>50</v>
      </c>
      <c r="C101" s="37">
        <v>1997</v>
      </c>
      <c r="D101" s="38">
        <f>1701392/4194.89</f>
        <v>405.5867972700118</v>
      </c>
      <c r="E101" s="38">
        <f t="shared" si="8"/>
        <v>255.5374455039516</v>
      </c>
      <c r="F101" s="38">
        <f t="shared" si="7"/>
        <v>150.0493517660602</v>
      </c>
      <c r="G101" s="39">
        <f t="shared" si="2"/>
        <v>0.3699562036437977</v>
      </c>
    </row>
    <row r="102" spans="1:7" ht="12.75">
      <c r="A102" s="35"/>
      <c r="B102" s="36" t="s">
        <v>56</v>
      </c>
      <c r="C102" s="37">
        <v>1997</v>
      </c>
      <c r="D102" s="38">
        <f>1730599/4277.9</f>
        <v>404.54405198812503</v>
      </c>
      <c r="E102" s="38">
        <f t="shared" si="8"/>
        <v>255.5374455039516</v>
      </c>
      <c r="F102" s="38">
        <f t="shared" si="7"/>
        <v>149.00660648417343</v>
      </c>
      <c r="G102" s="39">
        <f t="shared" si="2"/>
        <v>0.368332214382792</v>
      </c>
    </row>
    <row r="103" spans="1:7" ht="12.75">
      <c r="A103" s="35"/>
      <c r="B103" s="36" t="s">
        <v>41</v>
      </c>
      <c r="C103" s="37">
        <v>1997</v>
      </c>
      <c r="D103" s="38">
        <f>1756143/4393.58</f>
        <v>399.70661738263556</v>
      </c>
      <c r="E103" s="38">
        <f t="shared" si="8"/>
        <v>255.5374455039516</v>
      </c>
      <c r="F103" s="38">
        <f t="shared" si="7"/>
        <v>144.16917187868395</v>
      </c>
      <c r="G103" s="39">
        <f t="shared" si="2"/>
        <v>0.3606874782877865</v>
      </c>
    </row>
    <row r="104" spans="1:7" ht="12.75">
      <c r="A104" s="35"/>
      <c r="B104" s="36" t="s">
        <v>54</v>
      </c>
      <c r="C104" s="37">
        <v>1998</v>
      </c>
      <c r="D104" s="38">
        <f>1807926/4498.55</f>
        <v>401.8908314901468</v>
      </c>
      <c r="E104" s="38">
        <f>1122977/4498.55</f>
        <v>249.6308810616754</v>
      </c>
      <c r="F104" s="38">
        <f t="shared" si="7"/>
        <v>152.2599504284714</v>
      </c>
      <c r="G104" s="39">
        <f t="shared" si="2"/>
        <v>0.3788589798476265</v>
      </c>
    </row>
    <row r="105" spans="1:7" ht="12.75">
      <c r="A105" s="35"/>
      <c r="B105" s="36" t="s">
        <v>55</v>
      </c>
      <c r="C105" s="37">
        <v>1998</v>
      </c>
      <c r="D105" s="38">
        <f>1843036/4537.65</f>
        <v>406.16530583011036</v>
      </c>
      <c r="E105" s="38">
        <f>1122977/4498.55</f>
        <v>249.6308810616754</v>
      </c>
      <c r="F105" s="38">
        <f t="shared" si="7"/>
        <v>156.53442476843495</v>
      </c>
      <c r="G105" s="39">
        <f t="shared" si="2"/>
        <v>0.3853958536623749</v>
      </c>
    </row>
    <row r="106" spans="1:7" ht="12.75">
      <c r="A106" s="35"/>
      <c r="B106" s="36" t="s">
        <v>46</v>
      </c>
      <c r="C106" s="37">
        <v>1998</v>
      </c>
      <c r="D106" s="38">
        <f>1886602/4658.39</f>
        <v>404.99013607705666</v>
      </c>
      <c r="E106" s="38">
        <f>1122977/4498.55</f>
        <v>249.6308810616754</v>
      </c>
      <c r="F106" s="38">
        <f t="shared" si="7"/>
        <v>155.35925501538125</v>
      </c>
      <c r="G106" s="39">
        <f t="shared" si="2"/>
        <v>0.3836124418245618</v>
      </c>
    </row>
    <row r="107" spans="1:7" ht="12.75">
      <c r="A107" s="35"/>
      <c r="B107" s="36" t="s">
        <v>38</v>
      </c>
      <c r="C107" s="37">
        <v>1998</v>
      </c>
      <c r="D107" s="38">
        <f>1969965/4960</f>
        <v>397.1703629032258</v>
      </c>
      <c r="E107" s="38">
        <f>1122977/4498.55</f>
        <v>249.6308810616754</v>
      </c>
      <c r="F107" s="38">
        <f t="shared" si="7"/>
        <v>147.53948184155038</v>
      </c>
      <c r="G107" s="39">
        <f t="shared" si="2"/>
        <v>0.37147656427098447</v>
      </c>
    </row>
    <row r="108" spans="1:7" ht="12.75">
      <c r="A108" s="35"/>
      <c r="B108" s="36" t="s">
        <v>39</v>
      </c>
      <c r="C108" s="37">
        <v>1998</v>
      </c>
      <c r="D108" s="38">
        <f>2004412/5150.82</f>
        <v>389.1442527597548</v>
      </c>
      <c r="E108" s="38">
        <f>1135857/5150.82</f>
        <v>220.5196454156814</v>
      </c>
      <c r="F108" s="38">
        <f t="shared" si="7"/>
        <v>168.6246073440734</v>
      </c>
      <c r="G108" s="39">
        <f t="shared" si="2"/>
        <v>0.4333215925667977</v>
      </c>
    </row>
    <row r="109" spans="1:7" ht="12.75">
      <c r="A109" s="35"/>
      <c r="B109" s="36" t="s">
        <v>40</v>
      </c>
      <c r="C109" s="37">
        <v>1998</v>
      </c>
      <c r="D109" s="38">
        <f>2071303/5235.62</f>
        <v>395.61751998808165</v>
      </c>
      <c r="E109" s="38">
        <f>1135857/5150.82</f>
        <v>220.5196454156814</v>
      </c>
      <c r="F109" s="38">
        <f t="shared" si="7"/>
        <v>175.09787457240026</v>
      </c>
      <c r="G109" s="39">
        <f t="shared" si="2"/>
        <v>0.44259383299727284</v>
      </c>
    </row>
    <row r="110" spans="1:7" ht="12.75">
      <c r="A110" s="35"/>
      <c r="B110" s="36" t="s">
        <v>47</v>
      </c>
      <c r="C110" s="37">
        <v>1998</v>
      </c>
      <c r="D110" s="38">
        <f>2103799/5301.8</f>
        <v>396.8084424157833</v>
      </c>
      <c r="E110" s="38">
        <f>1259827/5301.8</f>
        <v>237.622505564148</v>
      </c>
      <c r="F110" s="38">
        <f t="shared" si="7"/>
        <v>159.1859368516353</v>
      </c>
      <c r="G110" s="39">
        <f t="shared" si="2"/>
        <v>0.4011657007157053</v>
      </c>
    </row>
    <row r="111" spans="1:7" ht="12.75">
      <c r="A111" s="16" t="s">
        <v>27</v>
      </c>
      <c r="B111" s="32" t="s">
        <v>48</v>
      </c>
      <c r="C111" s="33">
        <v>1998</v>
      </c>
      <c r="D111" s="34">
        <f>2140723/5432.23</f>
        <v>394.0781226126287</v>
      </c>
      <c r="E111" s="34">
        <f>1259827/5301.8</f>
        <v>237.622505564148</v>
      </c>
      <c r="F111" s="34">
        <f aca="true" t="shared" si="9" ref="F111:F132">D111-E111</f>
        <v>156.4556170484807</v>
      </c>
      <c r="G111" s="20">
        <f t="shared" si="2"/>
        <v>0.3970167539654912</v>
      </c>
    </row>
    <row r="112" spans="1:7" ht="12.75">
      <c r="A112" s="16"/>
      <c r="B112" s="32" t="s">
        <v>49</v>
      </c>
      <c r="C112" s="33">
        <v>1998</v>
      </c>
      <c r="D112" s="34">
        <f>2223761/5886.84</f>
        <v>377.7512213683402</v>
      </c>
      <c r="E112" s="34">
        <f>1259827/5301.8</f>
        <v>237.622505564148</v>
      </c>
      <c r="F112" s="34">
        <f t="shared" si="9"/>
        <v>140.1287158041922</v>
      </c>
      <c r="G112" s="20">
        <f t="shared" si="2"/>
        <v>0.37095503039434136</v>
      </c>
    </row>
    <row r="113" spans="1:7" ht="12.75">
      <c r="A113" s="16"/>
      <c r="B113" s="32" t="s">
        <v>50</v>
      </c>
      <c r="C113" s="33">
        <v>1998</v>
      </c>
      <c r="D113" s="34">
        <f>2347114/6619.88</f>
        <v>354.5553695837387</v>
      </c>
      <c r="E113" s="34">
        <f>1433707/6619.88</f>
        <v>216.57598022924887</v>
      </c>
      <c r="F113" s="34">
        <f t="shared" si="9"/>
        <v>137.97938935448983</v>
      </c>
      <c r="G113" s="20">
        <f aca="true" t="shared" si="10" ref="G113:G130">+F113/D113</f>
        <v>0.38916175354073135</v>
      </c>
    </row>
    <row r="114" spans="1:7" ht="12.75">
      <c r="A114" s="16"/>
      <c r="B114" s="32" t="s">
        <v>56</v>
      </c>
      <c r="C114" s="33">
        <v>1998</v>
      </c>
      <c r="D114" s="34">
        <f>2404727/6449.1</f>
        <v>372.87792095021007</v>
      </c>
      <c r="E114" s="34">
        <f>1433707/6619.88</f>
        <v>216.57598022924887</v>
      </c>
      <c r="F114" s="34">
        <f t="shared" si="9"/>
        <v>156.3019407209612</v>
      </c>
      <c r="G114" s="20">
        <f t="shared" si="10"/>
        <v>0.4191772479385606</v>
      </c>
    </row>
    <row r="115" spans="1:7" ht="12.75">
      <c r="A115" s="16"/>
      <c r="B115" s="32" t="s">
        <v>41</v>
      </c>
      <c r="C115" s="33">
        <v>1998</v>
      </c>
      <c r="D115" s="34">
        <f>2435098/6582.73</f>
        <v>369.92220552870924</v>
      </c>
      <c r="E115" s="34">
        <f>1433707/6619.88</f>
        <v>216.57598022924887</v>
      </c>
      <c r="F115" s="34">
        <f t="shared" si="9"/>
        <v>153.34622529946037</v>
      </c>
      <c r="G115" s="20">
        <f t="shared" si="10"/>
        <v>0.4145364160561574</v>
      </c>
    </row>
    <row r="116" spans="1:7" ht="12.75">
      <c r="A116" s="16"/>
      <c r="B116" s="32" t="s">
        <v>54</v>
      </c>
      <c r="C116" s="33">
        <v>1999</v>
      </c>
      <c r="D116" s="34">
        <f>2512250/7124.28</f>
        <v>352.63212563234464</v>
      </c>
      <c r="E116" s="34">
        <f>1553603/7124.28</f>
        <v>218.071580566738</v>
      </c>
      <c r="F116" s="34">
        <f t="shared" si="9"/>
        <v>134.56054506560665</v>
      </c>
      <c r="G116" s="20">
        <f t="shared" si="10"/>
        <v>0.3815890138322221</v>
      </c>
    </row>
    <row r="117" spans="1:7" ht="12.75">
      <c r="A117" s="16"/>
      <c r="B117" s="32" t="s">
        <v>55</v>
      </c>
      <c r="C117" s="33">
        <v>1999</v>
      </c>
      <c r="D117" s="34">
        <f>2603742/7762.34</f>
        <v>335.4326143920519</v>
      </c>
      <c r="E117" s="34">
        <f>1553603/7124.28</f>
        <v>218.071580566738</v>
      </c>
      <c r="F117" s="34">
        <f t="shared" si="9"/>
        <v>117.36103382531391</v>
      </c>
      <c r="G117" s="20">
        <f t="shared" si="10"/>
        <v>0.3498796145330786</v>
      </c>
    </row>
    <row r="118" spans="1:7" ht="12.75">
      <c r="A118" s="16"/>
      <c r="B118" s="32" t="s">
        <v>46</v>
      </c>
      <c r="C118" s="33">
        <v>1999</v>
      </c>
      <c r="D118" s="34">
        <f>2875117/10530.26</f>
        <v>273.0338092316809</v>
      </c>
      <c r="E118" s="34">
        <f>1553603/7124.28</f>
        <v>218.071580566738</v>
      </c>
      <c r="F118" s="34">
        <f t="shared" si="9"/>
        <v>54.9622286649429</v>
      </c>
      <c r="G118" s="20">
        <f t="shared" si="10"/>
        <v>0.20130191502512823</v>
      </c>
    </row>
    <row r="119" spans="1:7" ht="12.75">
      <c r="A119" s="16"/>
      <c r="B119" s="32" t="s">
        <v>38</v>
      </c>
      <c r="C119" s="33">
        <v>1999</v>
      </c>
      <c r="D119" s="34">
        <f>3122004/9425.05</f>
        <v>331.24535148354653</v>
      </c>
      <c r="E119" s="34">
        <f>1566483/9425.05</f>
        <v>166.20421111824342</v>
      </c>
      <c r="F119" s="34">
        <f t="shared" si="9"/>
        <v>165.0411403653031</v>
      </c>
      <c r="G119" s="20">
        <f t="shared" si="10"/>
        <v>0.4982443968681654</v>
      </c>
    </row>
    <row r="120" spans="1:7" ht="12.75">
      <c r="A120" s="16"/>
      <c r="B120" s="32" t="s">
        <v>39</v>
      </c>
      <c r="C120" s="33">
        <v>1999</v>
      </c>
      <c r="D120" s="34">
        <f>3168974/9000.54</f>
        <v>352.0870969964024</v>
      </c>
      <c r="E120" s="34">
        <f>1566483/9425.05</f>
        <v>166.20421111824342</v>
      </c>
      <c r="F120" s="34">
        <f t="shared" si="9"/>
        <v>185.882885878159</v>
      </c>
      <c r="G120" s="20">
        <f t="shared" si="10"/>
        <v>0.5279457482648344</v>
      </c>
    </row>
    <row r="121" spans="1:7" ht="12.75">
      <c r="A121" s="16"/>
      <c r="B121" s="32" t="s">
        <v>40</v>
      </c>
      <c r="C121" s="33">
        <v>1999</v>
      </c>
      <c r="D121" s="34">
        <f>3204801/10842.18</f>
        <v>295.5864042102234</v>
      </c>
      <c r="E121" s="34">
        <f>1592243/10842.18</f>
        <v>146.85635176689559</v>
      </c>
      <c r="F121" s="34">
        <f t="shared" si="9"/>
        <v>148.73005244332782</v>
      </c>
      <c r="G121" s="20">
        <f t="shared" si="10"/>
        <v>0.5031694635641963</v>
      </c>
    </row>
    <row r="122" spans="1:7" ht="12.75">
      <c r="A122" s="16"/>
      <c r="B122" s="32" t="s">
        <v>47</v>
      </c>
      <c r="C122" s="33">
        <v>1999</v>
      </c>
      <c r="D122" s="34">
        <f>3279856/11716.1</f>
        <v>279.9443500823653</v>
      </c>
      <c r="E122" s="34">
        <f aca="true" t="shared" si="11" ref="E122:E127">1785759/11716.1</f>
        <v>152.41923506969042</v>
      </c>
      <c r="F122" s="34">
        <f t="shared" si="9"/>
        <v>127.52511501267489</v>
      </c>
      <c r="G122" s="40">
        <f t="shared" si="10"/>
        <v>0.45553737725070864</v>
      </c>
    </row>
    <row r="123" spans="1:7" ht="12.75">
      <c r="A123" s="16"/>
      <c r="B123" s="32" t="s">
        <v>48</v>
      </c>
      <c r="C123" s="33">
        <v>1999</v>
      </c>
      <c r="D123" s="34">
        <f>3307825/11189.03</f>
        <v>295.63107793973205</v>
      </c>
      <c r="E123" s="34">
        <f t="shared" si="11"/>
        <v>152.41923506969042</v>
      </c>
      <c r="F123" s="34">
        <f t="shared" si="9"/>
        <v>143.21184287004164</v>
      </c>
      <c r="G123" s="40">
        <f t="shared" si="10"/>
        <v>0.48442756380043744</v>
      </c>
    </row>
    <row r="124" spans="1:7" ht="12.75">
      <c r="A124" s="16"/>
      <c r="B124" s="32" t="s">
        <v>49</v>
      </c>
      <c r="C124" s="33">
        <v>1999</v>
      </c>
      <c r="D124" s="34">
        <f>3360077/12076.94</f>
        <v>278.22254643974384</v>
      </c>
      <c r="E124" s="34">
        <f t="shared" si="11"/>
        <v>152.41923506969042</v>
      </c>
      <c r="F124" s="34">
        <f t="shared" si="9"/>
        <v>125.80331137005342</v>
      </c>
      <c r="G124" s="40">
        <f t="shared" si="10"/>
        <v>0.4521679244902581</v>
      </c>
    </row>
    <row r="125" spans="1:7" ht="12.75">
      <c r="A125" s="16"/>
      <c r="B125" s="32" t="s">
        <v>50</v>
      </c>
      <c r="C125" s="33">
        <v>1999</v>
      </c>
      <c r="D125" s="34">
        <f>3479926/15530.75</f>
        <v>224.06683514962253</v>
      </c>
      <c r="E125" s="34">
        <f t="shared" si="11"/>
        <v>152.41923506969042</v>
      </c>
      <c r="F125" s="34">
        <f t="shared" si="9"/>
        <v>71.64760007993212</v>
      </c>
      <c r="G125" s="40">
        <f t="shared" si="10"/>
        <v>0.31975995033842836</v>
      </c>
    </row>
    <row r="126" spans="1:7" ht="12.75">
      <c r="A126" s="16"/>
      <c r="B126" s="32" t="s">
        <v>56</v>
      </c>
      <c r="C126" s="33">
        <v>1999</v>
      </c>
      <c r="D126" s="34">
        <f>3722291/17411.22</f>
        <v>213.7869144149577</v>
      </c>
      <c r="E126" s="34">
        <f t="shared" si="11"/>
        <v>152.41923506969042</v>
      </c>
      <c r="F126" s="34">
        <f t="shared" si="9"/>
        <v>61.36767934526728</v>
      </c>
      <c r="G126" s="40">
        <f t="shared" si="10"/>
        <v>0.2870506808763486</v>
      </c>
    </row>
    <row r="127" spans="1:7" ht="12.75">
      <c r="A127" s="16"/>
      <c r="B127" s="32" t="s">
        <v>41</v>
      </c>
      <c r="C127" s="33">
        <v>1999</v>
      </c>
      <c r="D127" s="34">
        <f>3990099/18140.56</f>
        <v>219.9545659009424</v>
      </c>
      <c r="E127" s="34">
        <f t="shared" si="11"/>
        <v>152.41923506969042</v>
      </c>
      <c r="F127" s="34">
        <f t="shared" si="9"/>
        <v>67.535330831252</v>
      </c>
      <c r="G127" s="40">
        <f t="shared" si="10"/>
        <v>0.3070421864380249</v>
      </c>
    </row>
    <row r="128" spans="1:7" ht="12.75">
      <c r="A128" s="35" t="s">
        <v>34</v>
      </c>
      <c r="B128" s="41" t="s">
        <v>35</v>
      </c>
      <c r="C128" s="37">
        <v>2000</v>
      </c>
      <c r="D128" s="38">
        <f>4468727/24999.87</f>
        <v>178.7500095000494</v>
      </c>
      <c r="E128" s="38">
        <f>1973593/24578.1</f>
        <v>80.29884327917944</v>
      </c>
      <c r="F128" s="38">
        <f t="shared" si="9"/>
        <v>98.45116622086996</v>
      </c>
      <c r="G128" s="42">
        <f t="shared" si="10"/>
        <v>0.5507757258096412</v>
      </c>
    </row>
    <row r="129" spans="1:7" ht="12.75">
      <c r="A129" s="35"/>
      <c r="B129" s="41" t="s">
        <v>36</v>
      </c>
      <c r="C129" s="37">
        <v>2000</v>
      </c>
      <c r="D129" s="38">
        <f>4915933/25000</f>
        <v>196.63732</v>
      </c>
      <c r="E129" s="38">
        <f>1973593/24578.1</f>
        <v>80.29884327917944</v>
      </c>
      <c r="F129" s="38">
        <f t="shared" si="9"/>
        <v>116.33847672082055</v>
      </c>
      <c r="G129" s="42">
        <f t="shared" si="10"/>
        <v>0.5916398612471964</v>
      </c>
    </row>
    <row r="130" spans="1:7" ht="12.75">
      <c r="A130" s="35"/>
      <c r="B130" s="41" t="s">
        <v>37</v>
      </c>
      <c r="C130" s="37">
        <v>2000</v>
      </c>
      <c r="D130" s="38">
        <f>5420781/25000</f>
        <v>216.83124</v>
      </c>
      <c r="E130" s="38">
        <f>1973593/24578.1</f>
        <v>80.29884327917944</v>
      </c>
      <c r="F130" s="38">
        <f t="shared" si="9"/>
        <v>136.53239672082057</v>
      </c>
      <c r="G130" s="42">
        <f t="shared" si="10"/>
        <v>0.6296712444240994</v>
      </c>
    </row>
    <row r="131" spans="1:7" ht="12.75">
      <c r="A131" s="35"/>
      <c r="B131" s="41" t="s">
        <v>38</v>
      </c>
      <c r="C131" s="37">
        <v>2000</v>
      </c>
      <c r="D131" s="38">
        <f>6130488/25000</f>
        <v>245.21952</v>
      </c>
      <c r="E131" s="38">
        <f>2842993/25000</f>
        <v>113.71972</v>
      </c>
      <c r="F131" s="38">
        <f t="shared" si="9"/>
        <v>131.4998</v>
      </c>
      <c r="G131" s="42">
        <v>0.536</v>
      </c>
    </row>
    <row r="132" spans="1:7" ht="12.75">
      <c r="A132" s="35"/>
      <c r="B132" s="41" t="s">
        <v>44</v>
      </c>
      <c r="C132" s="37">
        <v>2000</v>
      </c>
      <c r="D132" s="38">
        <f>6518454/25000</f>
        <v>260.73816</v>
      </c>
      <c r="E132" s="38">
        <f>2907393/25000</f>
        <v>116.29572</v>
      </c>
      <c r="F132" s="38">
        <f t="shared" si="9"/>
        <v>144.44243999999998</v>
      </c>
      <c r="G132" s="42">
        <v>0.554</v>
      </c>
    </row>
    <row r="133" spans="1:9" ht="12.75">
      <c r="A133" s="43"/>
      <c r="B133" s="41" t="s">
        <v>45</v>
      </c>
      <c r="C133" s="37">
        <v>2000</v>
      </c>
      <c r="D133" s="44">
        <v>274.76</v>
      </c>
      <c r="E133" s="44">
        <v>164.6</v>
      </c>
      <c r="F133" s="38">
        <v>110.2</v>
      </c>
      <c r="G133" s="42">
        <v>0.401</v>
      </c>
      <c r="I133" s="4"/>
    </row>
    <row r="134" spans="1:9" ht="12.75">
      <c r="A134" s="43"/>
      <c r="B134" s="41" t="s">
        <v>43</v>
      </c>
      <c r="C134" s="37">
        <v>2000</v>
      </c>
      <c r="D134" s="44">
        <v>226.39</v>
      </c>
      <c r="E134" s="44">
        <v>163.57</v>
      </c>
      <c r="F134" s="44">
        <v>62.82</v>
      </c>
      <c r="G134" s="42">
        <v>0.277</v>
      </c>
      <c r="I134" s="4"/>
    </row>
    <row r="135" spans="1:9" ht="12.75">
      <c r="A135" s="43"/>
      <c r="B135" s="41" t="s">
        <v>57</v>
      </c>
      <c r="C135" s="37">
        <v>2000</v>
      </c>
      <c r="D135" s="44">
        <v>229.46</v>
      </c>
      <c r="E135" s="44">
        <v>163.57</v>
      </c>
      <c r="F135" s="44">
        <v>65.9</v>
      </c>
      <c r="G135" s="42">
        <v>0.287</v>
      </c>
      <c r="I135" s="4"/>
    </row>
    <row r="136" spans="1:9" ht="12.75">
      <c r="A136" s="43"/>
      <c r="B136" s="41" t="s">
        <v>51</v>
      </c>
      <c r="C136" s="37">
        <v>2000</v>
      </c>
      <c r="D136" s="44">
        <v>234.63</v>
      </c>
      <c r="E136" s="44">
        <v>163.57337600000002</v>
      </c>
      <c r="F136" s="44">
        <v>74.68323716067701</v>
      </c>
      <c r="G136" s="42">
        <v>0.313</v>
      </c>
      <c r="I136" s="4"/>
    </row>
    <row r="137" spans="1:9" ht="12.75">
      <c r="A137" s="43"/>
      <c r="B137" s="41" t="s">
        <v>52</v>
      </c>
      <c r="C137" s="37">
        <v>2000</v>
      </c>
      <c r="D137" s="44">
        <v>244.17</v>
      </c>
      <c r="E137" s="44">
        <v>163.57</v>
      </c>
      <c r="F137" s="44">
        <v>80.59</v>
      </c>
      <c r="G137" s="42">
        <v>0.33</v>
      </c>
      <c r="I137" s="4"/>
    </row>
    <row r="138" spans="1:9" ht="12.75">
      <c r="A138" s="43"/>
      <c r="B138" s="41" t="s">
        <v>53</v>
      </c>
      <c r="C138" s="37">
        <v>2000</v>
      </c>
      <c r="D138" s="44">
        <v>248.1</v>
      </c>
      <c r="E138" s="44">
        <v>163.57</v>
      </c>
      <c r="F138" s="44">
        <v>84.53</v>
      </c>
      <c r="G138" s="42">
        <v>0.341</v>
      </c>
      <c r="I138" s="4"/>
    </row>
    <row r="139" spans="1:9" ht="12.75">
      <c r="A139" s="43"/>
      <c r="B139" s="41" t="s">
        <v>58</v>
      </c>
      <c r="C139" s="37">
        <v>2000</v>
      </c>
      <c r="D139" s="41">
        <v>252.93</v>
      </c>
      <c r="E139" s="41">
        <v>163.57</v>
      </c>
      <c r="F139" s="41">
        <v>89.36</v>
      </c>
      <c r="G139" s="42">
        <v>0.353</v>
      </c>
      <c r="I139" s="4"/>
    </row>
    <row r="140" spans="1:9" ht="12.75">
      <c r="A140" s="43"/>
      <c r="B140" s="41" t="s">
        <v>54</v>
      </c>
      <c r="C140" s="37">
        <v>2001</v>
      </c>
      <c r="D140" s="41">
        <v>269.77</v>
      </c>
      <c r="E140" s="41">
        <v>200.73</v>
      </c>
      <c r="F140" s="41">
        <v>69.04</v>
      </c>
      <c r="G140" s="42">
        <v>0.256</v>
      </c>
      <c r="I140" s="4"/>
    </row>
    <row r="141" spans="1:9" ht="12.75">
      <c r="A141" s="43"/>
      <c r="B141" s="41" t="s">
        <v>55</v>
      </c>
      <c r="C141" s="37">
        <v>2001</v>
      </c>
      <c r="D141" s="41">
        <v>278.02</v>
      </c>
      <c r="E141" s="41">
        <v>200.73</v>
      </c>
      <c r="F141" s="41">
        <v>77.29</v>
      </c>
      <c r="G141" s="42">
        <v>0.278</v>
      </c>
      <c r="I141" s="4"/>
    </row>
    <row r="142" spans="1:9" ht="12.75">
      <c r="A142" s="43"/>
      <c r="B142" s="41" t="s">
        <v>46</v>
      </c>
      <c r="C142" s="37">
        <v>2001</v>
      </c>
      <c r="D142" s="44">
        <v>284.25</v>
      </c>
      <c r="E142" s="44">
        <v>200.73</v>
      </c>
      <c r="F142" s="44">
        <f aca="true" t="shared" si="12" ref="F142:F185">+D142-E142</f>
        <v>83.52000000000001</v>
      </c>
      <c r="G142" s="42">
        <f aca="true" t="shared" si="13" ref="G142:G185">+F142/D142</f>
        <v>0.29382585751978896</v>
      </c>
      <c r="I142" s="4"/>
    </row>
    <row r="143" spans="1:9" ht="12.75">
      <c r="A143" s="43"/>
      <c r="B143" s="41" t="s">
        <v>38</v>
      </c>
      <c r="C143" s="37">
        <v>2001</v>
      </c>
      <c r="D143" s="44">
        <v>288.45</v>
      </c>
      <c r="E143" s="44">
        <v>200.73</v>
      </c>
      <c r="F143" s="44">
        <f t="shared" si="12"/>
        <v>87.72</v>
      </c>
      <c r="G143" s="42">
        <f t="shared" si="13"/>
        <v>0.30410816432657306</v>
      </c>
      <c r="I143" s="4"/>
    </row>
    <row r="144" spans="1:9" ht="12.75">
      <c r="A144" s="43"/>
      <c r="B144" s="41" t="s">
        <v>39</v>
      </c>
      <c r="C144" s="37">
        <v>2001</v>
      </c>
      <c r="D144" s="44">
        <v>287.77</v>
      </c>
      <c r="E144" s="44">
        <v>200.73</v>
      </c>
      <c r="F144" s="44">
        <f t="shared" si="12"/>
        <v>87.03999999999999</v>
      </c>
      <c r="G144" s="42">
        <f t="shared" si="13"/>
        <v>0.3024637731521701</v>
      </c>
      <c r="I144" s="4"/>
    </row>
    <row r="145" spans="1:9" ht="12.75">
      <c r="A145" s="43"/>
      <c r="B145" s="41" t="s">
        <v>40</v>
      </c>
      <c r="C145" s="37">
        <v>2001</v>
      </c>
      <c r="D145" s="44">
        <v>288.79</v>
      </c>
      <c r="E145" s="44">
        <v>200.73</v>
      </c>
      <c r="F145" s="44">
        <f t="shared" si="12"/>
        <v>88.06000000000003</v>
      </c>
      <c r="G145" s="42">
        <f t="shared" si="13"/>
        <v>0.30492745593684</v>
      </c>
      <c r="I145" s="4"/>
    </row>
    <row r="146" spans="1:9" ht="12.75">
      <c r="A146" s="43"/>
      <c r="B146" s="41" t="s">
        <v>47</v>
      </c>
      <c r="C146" s="37">
        <v>2001</v>
      </c>
      <c r="D146" s="44">
        <v>290.66</v>
      </c>
      <c r="E146" s="44">
        <v>200.73</v>
      </c>
      <c r="F146" s="44">
        <f t="shared" si="12"/>
        <v>89.93000000000004</v>
      </c>
      <c r="G146" s="42">
        <f t="shared" si="13"/>
        <v>0.3093992981490402</v>
      </c>
      <c r="I146" s="4"/>
    </row>
    <row r="147" spans="1:9" ht="12.75">
      <c r="A147" s="43"/>
      <c r="B147" s="41" t="s">
        <v>48</v>
      </c>
      <c r="C147" s="37">
        <v>2001</v>
      </c>
      <c r="D147" s="44">
        <v>292.97</v>
      </c>
      <c r="E147" s="44">
        <v>200.73</v>
      </c>
      <c r="F147" s="44">
        <f t="shared" si="12"/>
        <v>92.24000000000004</v>
      </c>
      <c r="G147" s="42">
        <f t="shared" si="13"/>
        <v>0.3148445233300339</v>
      </c>
      <c r="I147" s="4"/>
    </row>
    <row r="148" spans="1:9" ht="12.75">
      <c r="A148" s="43"/>
      <c r="B148" s="41" t="s">
        <v>49</v>
      </c>
      <c r="C148" s="37">
        <v>2001</v>
      </c>
      <c r="D148" s="44">
        <v>299.42</v>
      </c>
      <c r="E148" s="44">
        <v>200.73</v>
      </c>
      <c r="F148" s="44">
        <f t="shared" si="12"/>
        <v>98.69000000000003</v>
      </c>
      <c r="G148" s="42">
        <f t="shared" si="13"/>
        <v>0.3296039008750251</v>
      </c>
      <c r="I148" s="4"/>
    </row>
    <row r="149" spans="1:9" ht="12.75">
      <c r="A149" s="43"/>
      <c r="B149" s="41" t="s">
        <v>50</v>
      </c>
      <c r="C149" s="37">
        <v>2001</v>
      </c>
      <c r="D149" s="44">
        <v>304.06</v>
      </c>
      <c r="E149" s="44">
        <v>200.73</v>
      </c>
      <c r="F149" s="44">
        <f t="shared" si="12"/>
        <v>103.33000000000001</v>
      </c>
      <c r="G149" s="42">
        <f t="shared" si="13"/>
        <v>0.33983424324146555</v>
      </c>
      <c r="I149" s="4"/>
    </row>
    <row r="150" spans="1:9" ht="12.75">
      <c r="A150" s="43"/>
      <c r="B150" s="41" t="s">
        <v>56</v>
      </c>
      <c r="C150" s="37">
        <v>2001</v>
      </c>
      <c r="D150" s="44">
        <v>310.21</v>
      </c>
      <c r="E150" s="44">
        <v>200.73</v>
      </c>
      <c r="F150" s="44">
        <f t="shared" si="12"/>
        <v>109.47999999999999</v>
      </c>
      <c r="G150" s="42">
        <f t="shared" si="13"/>
        <v>0.3529222139840753</v>
      </c>
      <c r="I150" s="4"/>
    </row>
    <row r="151" spans="1:9" ht="12.75">
      <c r="A151" s="43"/>
      <c r="B151" s="41" t="s">
        <v>41</v>
      </c>
      <c r="C151" s="37">
        <v>2001</v>
      </c>
      <c r="D151" s="44">
        <v>313.56</v>
      </c>
      <c r="E151" s="44">
        <v>200.73</v>
      </c>
      <c r="F151" s="44">
        <f t="shared" si="12"/>
        <v>112.83000000000001</v>
      </c>
      <c r="G151" s="42">
        <f t="shared" si="13"/>
        <v>0.35983543819364716</v>
      </c>
      <c r="I151" s="4"/>
    </row>
    <row r="152" spans="1:9" ht="12.75">
      <c r="A152" s="43"/>
      <c r="B152" s="41" t="s">
        <v>35</v>
      </c>
      <c r="C152" s="37">
        <v>2002</v>
      </c>
      <c r="D152" s="44">
        <v>319.15</v>
      </c>
      <c r="E152" s="44">
        <v>221.26</v>
      </c>
      <c r="F152" s="44">
        <f t="shared" si="12"/>
        <v>97.88999999999999</v>
      </c>
      <c r="G152" s="42">
        <f t="shared" si="13"/>
        <v>0.30672097759674133</v>
      </c>
      <c r="I152" s="4"/>
    </row>
    <row r="153" spans="1:9" ht="12.75">
      <c r="A153" s="43"/>
      <c r="B153" s="41" t="s">
        <v>36</v>
      </c>
      <c r="C153" s="37">
        <v>2002</v>
      </c>
      <c r="D153" s="44">
        <v>323.18</v>
      </c>
      <c r="E153" s="44">
        <v>221.26</v>
      </c>
      <c r="F153" s="44">
        <f t="shared" si="12"/>
        <v>101.92000000000002</v>
      </c>
      <c r="G153" s="42">
        <f t="shared" si="13"/>
        <v>0.31536604987932426</v>
      </c>
      <c r="I153" s="4"/>
    </row>
    <row r="154" spans="1:9" ht="12.75">
      <c r="A154" s="43"/>
      <c r="B154" s="41" t="s">
        <v>37</v>
      </c>
      <c r="C154" s="37">
        <v>2002</v>
      </c>
      <c r="D154" s="44">
        <v>327.34</v>
      </c>
      <c r="E154" s="44">
        <v>221.26</v>
      </c>
      <c r="F154" s="44">
        <f t="shared" si="12"/>
        <v>106.07999999999998</v>
      </c>
      <c r="G154" s="42">
        <f t="shared" si="13"/>
        <v>0.324066719618745</v>
      </c>
      <c r="I154" s="4"/>
    </row>
    <row r="155" spans="1:9" ht="12.75">
      <c r="A155" s="43"/>
      <c r="B155" s="41" t="s">
        <v>38</v>
      </c>
      <c r="C155" s="37">
        <v>2002</v>
      </c>
      <c r="D155" s="44">
        <v>330.31</v>
      </c>
      <c r="E155" s="44">
        <v>221.26</v>
      </c>
      <c r="F155" s="44">
        <f t="shared" si="12"/>
        <v>109.05000000000001</v>
      </c>
      <c r="G155" s="42">
        <f t="shared" si="13"/>
        <v>0.33014440979685755</v>
      </c>
      <c r="I155" s="4"/>
    </row>
    <row r="156" spans="1:9" ht="12.75">
      <c r="A156" s="43"/>
      <c r="B156" s="41" t="s">
        <v>39</v>
      </c>
      <c r="C156" s="37">
        <v>2002</v>
      </c>
      <c r="D156" s="44">
        <v>333.32</v>
      </c>
      <c r="E156" s="44">
        <v>221.26</v>
      </c>
      <c r="F156" s="44">
        <f t="shared" si="12"/>
        <v>112.06</v>
      </c>
      <c r="G156" s="42">
        <f t="shared" si="13"/>
        <v>0.33619344773790955</v>
      </c>
      <c r="I156" s="4"/>
    </row>
    <row r="157" spans="1:9" ht="12.75">
      <c r="A157" s="43"/>
      <c r="B157" s="41" t="s">
        <v>40</v>
      </c>
      <c r="C157" s="37">
        <v>2002</v>
      </c>
      <c r="D157" s="44">
        <v>334.05</v>
      </c>
      <c r="E157" s="44">
        <v>221.26</v>
      </c>
      <c r="F157" s="44">
        <f t="shared" si="12"/>
        <v>112.79000000000002</v>
      </c>
      <c r="G157" s="42">
        <f t="shared" si="13"/>
        <v>0.3376440652596917</v>
      </c>
      <c r="I157" s="4"/>
    </row>
    <row r="158" spans="1:9" ht="12.75">
      <c r="A158" s="43"/>
      <c r="B158" s="41" t="s">
        <v>47</v>
      </c>
      <c r="C158" s="37">
        <v>2002</v>
      </c>
      <c r="D158" s="44">
        <v>336.29</v>
      </c>
      <c r="E158" s="44">
        <v>221.26</v>
      </c>
      <c r="F158" s="44">
        <f t="shared" si="12"/>
        <v>115.03000000000003</v>
      </c>
      <c r="G158" s="42">
        <f t="shared" si="13"/>
        <v>0.34205596360284285</v>
      </c>
      <c r="I158" s="4"/>
    </row>
    <row r="159" spans="1:9" ht="12.75">
      <c r="A159" s="43"/>
      <c r="B159" s="41" t="s">
        <v>48</v>
      </c>
      <c r="C159" s="37">
        <v>2002</v>
      </c>
      <c r="D159" s="44">
        <v>339.91</v>
      </c>
      <c r="E159" s="44">
        <v>221.26</v>
      </c>
      <c r="F159" s="44">
        <f t="shared" si="12"/>
        <v>118.65000000000003</v>
      </c>
      <c r="G159" s="42">
        <f t="shared" si="13"/>
        <v>0.34906298726133395</v>
      </c>
      <c r="I159" s="4"/>
    </row>
    <row r="160" spans="1:9" ht="12.75">
      <c r="A160" s="43"/>
      <c r="B160" s="41" t="s">
        <v>49</v>
      </c>
      <c r="C160" s="37">
        <v>2002</v>
      </c>
      <c r="D160" s="44">
        <v>341.22</v>
      </c>
      <c r="E160" s="44">
        <v>221.26</v>
      </c>
      <c r="F160" s="44">
        <f t="shared" si="12"/>
        <v>119.96000000000004</v>
      </c>
      <c r="G160" s="42">
        <f t="shared" si="13"/>
        <v>0.3515620420842859</v>
      </c>
      <c r="I160" s="4"/>
    </row>
    <row r="161" spans="1:9" ht="12.75">
      <c r="A161" s="43"/>
      <c r="B161" s="41" t="s">
        <v>50</v>
      </c>
      <c r="C161" s="37">
        <v>2002</v>
      </c>
      <c r="D161" s="44">
        <v>346.14</v>
      </c>
      <c r="E161" s="44">
        <v>221.26</v>
      </c>
      <c r="F161" s="44">
        <f t="shared" si="12"/>
        <v>124.88</v>
      </c>
      <c r="G161" s="42">
        <f t="shared" si="13"/>
        <v>0.3607788755994684</v>
      </c>
      <c r="I161" s="4"/>
    </row>
    <row r="162" spans="1:9" ht="12.75">
      <c r="A162" s="43"/>
      <c r="B162" s="41" t="s">
        <v>56</v>
      </c>
      <c r="C162" s="37">
        <v>2002</v>
      </c>
      <c r="D162" s="44">
        <v>351.47</v>
      </c>
      <c r="E162" s="44">
        <v>221.26</v>
      </c>
      <c r="F162" s="44">
        <f t="shared" si="12"/>
        <v>130.21000000000004</v>
      </c>
      <c r="G162" s="42">
        <f t="shared" si="13"/>
        <v>0.3704725865649985</v>
      </c>
      <c r="I162" s="4"/>
    </row>
    <row r="163" spans="1:9" ht="12.75">
      <c r="A163" s="43"/>
      <c r="B163" s="41" t="s">
        <v>41</v>
      </c>
      <c r="C163" s="37">
        <v>2002</v>
      </c>
      <c r="D163" s="44">
        <v>353.24</v>
      </c>
      <c r="E163" s="44">
        <v>221.26</v>
      </c>
      <c r="F163" s="44">
        <f t="shared" si="12"/>
        <v>131.98000000000002</v>
      </c>
      <c r="G163" s="42">
        <f t="shared" si="13"/>
        <v>0.3736269958102141</v>
      </c>
      <c r="I163" s="4"/>
    </row>
    <row r="164" spans="1:9" ht="12.75">
      <c r="A164" s="16" t="s">
        <v>59</v>
      </c>
      <c r="B164" s="45" t="s">
        <v>35</v>
      </c>
      <c r="C164" s="33">
        <v>2003</v>
      </c>
      <c r="D164" s="46">
        <v>361.75</v>
      </c>
      <c r="E164" s="46">
        <v>253.17</v>
      </c>
      <c r="F164" s="19">
        <f t="shared" si="12"/>
        <v>108.58000000000001</v>
      </c>
      <c r="G164" s="40">
        <f t="shared" si="13"/>
        <v>0.30015203870076024</v>
      </c>
      <c r="I164" s="4"/>
    </row>
    <row r="165" spans="1:9" ht="12.75">
      <c r="A165" s="16"/>
      <c r="B165" s="45" t="s">
        <v>36</v>
      </c>
      <c r="C165" s="33">
        <v>2003</v>
      </c>
      <c r="D165" s="46">
        <v>362</v>
      </c>
      <c r="E165" s="46">
        <v>253.17</v>
      </c>
      <c r="F165" s="19">
        <f t="shared" si="12"/>
        <v>108.83000000000001</v>
      </c>
      <c r="G165" s="40">
        <f t="shared" si="13"/>
        <v>0.3006353591160221</v>
      </c>
      <c r="I165" s="4"/>
    </row>
    <row r="166" spans="1:9" ht="12.75">
      <c r="A166" s="16"/>
      <c r="B166" s="45" t="s">
        <v>37</v>
      </c>
      <c r="C166" s="33">
        <v>2003</v>
      </c>
      <c r="D166" s="46">
        <v>363.79</v>
      </c>
      <c r="E166" s="46">
        <v>253.17</v>
      </c>
      <c r="F166" s="19">
        <f t="shared" si="12"/>
        <v>110.62000000000003</v>
      </c>
      <c r="G166" s="40">
        <f t="shared" si="13"/>
        <v>0.3040765276670607</v>
      </c>
      <c r="I166" s="4"/>
    </row>
    <row r="167" spans="1:9" ht="12.75">
      <c r="A167" s="16"/>
      <c r="B167" s="45" t="s">
        <v>38</v>
      </c>
      <c r="C167" s="33">
        <v>2003</v>
      </c>
      <c r="D167" s="46">
        <v>366.59</v>
      </c>
      <c r="E167" s="46">
        <v>253.17</v>
      </c>
      <c r="F167" s="19">
        <f t="shared" si="12"/>
        <v>113.41999999999999</v>
      </c>
      <c r="G167" s="40">
        <f t="shared" si="13"/>
        <v>0.3093919637742437</v>
      </c>
      <c r="I167" s="4"/>
    </row>
    <row r="168" spans="1:9" ht="12.75">
      <c r="A168" s="16"/>
      <c r="B168" s="45" t="s">
        <v>39</v>
      </c>
      <c r="C168" s="33">
        <v>2003</v>
      </c>
      <c r="D168" s="46">
        <v>368.72</v>
      </c>
      <c r="E168" s="46">
        <v>253.17</v>
      </c>
      <c r="F168" s="19">
        <f t="shared" si="12"/>
        <v>115.55000000000004</v>
      </c>
      <c r="G168" s="40">
        <f t="shared" si="13"/>
        <v>0.3133814276415709</v>
      </c>
      <c r="I168" s="4"/>
    </row>
    <row r="169" spans="1:9" ht="12.75">
      <c r="A169" s="16"/>
      <c r="B169" s="45" t="s">
        <v>40</v>
      </c>
      <c r="C169" s="33">
        <v>2003</v>
      </c>
      <c r="D169" s="46">
        <v>369.95</v>
      </c>
      <c r="E169" s="46">
        <v>253.17</v>
      </c>
      <c r="F169" s="19">
        <f t="shared" si="12"/>
        <v>116.78</v>
      </c>
      <c r="G169" s="40">
        <f t="shared" si="13"/>
        <v>0.31566427895661575</v>
      </c>
      <c r="I169" s="4"/>
    </row>
    <row r="170" spans="1:9" ht="12.75">
      <c r="A170" s="16"/>
      <c r="B170" s="45" t="s">
        <v>47</v>
      </c>
      <c r="C170" s="33">
        <v>2003</v>
      </c>
      <c r="D170" s="46">
        <v>371.11</v>
      </c>
      <c r="E170" s="46">
        <v>253.17</v>
      </c>
      <c r="F170" s="19">
        <f t="shared" si="12"/>
        <v>117.94000000000003</v>
      </c>
      <c r="G170" s="40">
        <f t="shared" si="13"/>
        <v>0.317803346716607</v>
      </c>
      <c r="I170" s="4"/>
    </row>
    <row r="171" spans="1:9" ht="12.75">
      <c r="A171" s="16"/>
      <c r="B171" s="45" t="s">
        <v>48</v>
      </c>
      <c r="C171" s="33">
        <v>2003</v>
      </c>
      <c r="D171" s="46">
        <v>373.8</v>
      </c>
      <c r="E171" s="46">
        <v>253.17</v>
      </c>
      <c r="F171" s="19">
        <f t="shared" si="12"/>
        <v>120.63000000000002</v>
      </c>
      <c r="G171" s="40">
        <f t="shared" si="13"/>
        <v>0.3227126805778492</v>
      </c>
      <c r="I171" s="4"/>
    </row>
    <row r="172" spans="1:9" ht="12.75">
      <c r="A172" s="16"/>
      <c r="B172" s="45" t="s">
        <v>49</v>
      </c>
      <c r="C172" s="33">
        <v>2003</v>
      </c>
      <c r="D172" s="46">
        <v>376.47</v>
      </c>
      <c r="E172" s="46">
        <v>253.17</v>
      </c>
      <c r="F172" s="19">
        <f t="shared" si="12"/>
        <v>123.30000000000004</v>
      </c>
      <c r="G172" s="40">
        <f t="shared" si="13"/>
        <v>0.32751613674396374</v>
      </c>
      <c r="I172" s="4"/>
    </row>
    <row r="173" spans="1:9" ht="12.75">
      <c r="A173" s="16"/>
      <c r="B173" s="45" t="s">
        <v>50</v>
      </c>
      <c r="C173" s="33">
        <v>2003</v>
      </c>
      <c r="D173" s="46">
        <v>378.02</v>
      </c>
      <c r="E173" s="46">
        <v>253.17</v>
      </c>
      <c r="F173" s="19">
        <f t="shared" si="12"/>
        <v>124.85</v>
      </c>
      <c r="G173" s="40">
        <f t="shared" si="13"/>
        <v>0.3302735305010317</v>
      </c>
      <c r="I173" s="4"/>
    </row>
    <row r="174" spans="1:9" ht="12.75">
      <c r="A174" s="16"/>
      <c r="B174" s="45" t="s">
        <v>56</v>
      </c>
      <c r="C174" s="33">
        <v>2003</v>
      </c>
      <c r="D174" s="46">
        <v>378.29</v>
      </c>
      <c r="E174" s="46">
        <v>253.17</v>
      </c>
      <c r="F174" s="19">
        <f t="shared" si="12"/>
        <v>125.12000000000003</v>
      </c>
      <c r="G174" s="40">
        <f t="shared" si="13"/>
        <v>0.3307515398239447</v>
      </c>
      <c r="I174" s="4"/>
    </row>
    <row r="175" spans="1:9" ht="12.75">
      <c r="A175" s="16"/>
      <c r="B175" s="45" t="s">
        <v>41</v>
      </c>
      <c r="C175" s="33">
        <v>2003</v>
      </c>
      <c r="D175" s="46">
        <v>378.34</v>
      </c>
      <c r="E175" s="46">
        <v>253.17</v>
      </c>
      <c r="F175" s="19">
        <f t="shared" si="12"/>
        <v>125.16999999999999</v>
      </c>
      <c r="G175" s="40">
        <f t="shared" si="13"/>
        <v>0.3308399851984987</v>
      </c>
      <c r="I175" s="4"/>
    </row>
    <row r="176" spans="1:9" ht="12.75">
      <c r="A176" s="16"/>
      <c r="B176" s="45" t="s">
        <v>60</v>
      </c>
      <c r="C176" s="33">
        <v>2004</v>
      </c>
      <c r="D176" s="46">
        <v>381.39</v>
      </c>
      <c r="E176" s="46">
        <v>265.95</v>
      </c>
      <c r="F176" s="19">
        <f t="shared" si="12"/>
        <v>115.44</v>
      </c>
      <c r="G176" s="40">
        <f t="shared" si="13"/>
        <v>0.3026822937150948</v>
      </c>
      <c r="I176" s="4"/>
    </row>
    <row r="177" spans="1:9" ht="12.75">
      <c r="A177" s="16"/>
      <c r="B177" s="45" t="s">
        <v>36</v>
      </c>
      <c r="C177" s="33">
        <v>2004</v>
      </c>
      <c r="D177" s="46">
        <v>384.03</v>
      </c>
      <c r="E177" s="46">
        <v>265.95</v>
      </c>
      <c r="F177" s="19">
        <f t="shared" si="12"/>
        <v>118.07999999999998</v>
      </c>
      <c r="G177" s="40">
        <f t="shared" si="13"/>
        <v>0.3074759784391844</v>
      </c>
      <c r="I177" s="4"/>
    </row>
    <row r="178" spans="1:9" ht="12.75">
      <c r="A178" s="16"/>
      <c r="B178" s="45" t="s">
        <v>37</v>
      </c>
      <c r="C178" s="33">
        <v>2004</v>
      </c>
      <c r="D178" s="46">
        <v>385.58</v>
      </c>
      <c r="E178" s="46">
        <v>265.95</v>
      </c>
      <c r="F178" s="19">
        <f t="shared" si="12"/>
        <v>119.63</v>
      </c>
      <c r="G178" s="40">
        <f t="shared" si="13"/>
        <v>0.31025986825042795</v>
      </c>
      <c r="I178" s="4"/>
    </row>
    <row r="179" spans="1:9" ht="12.75">
      <c r="A179" s="16"/>
      <c r="B179" s="45" t="s">
        <v>38</v>
      </c>
      <c r="C179" s="33">
        <v>2004</v>
      </c>
      <c r="D179" s="46">
        <v>387.59</v>
      </c>
      <c r="E179" s="46">
        <v>265.95</v>
      </c>
      <c r="F179" s="19">
        <f t="shared" si="12"/>
        <v>121.63999999999999</v>
      </c>
      <c r="G179" s="40">
        <f t="shared" si="13"/>
        <v>0.31383678629479606</v>
      </c>
      <c r="I179" s="4"/>
    </row>
    <row r="180" spans="1:9" ht="12.75">
      <c r="A180" s="16"/>
      <c r="B180" s="45" t="s">
        <v>39</v>
      </c>
      <c r="C180" s="33">
        <v>2004</v>
      </c>
      <c r="D180" s="46">
        <v>388.38</v>
      </c>
      <c r="E180" s="46">
        <v>265.95</v>
      </c>
      <c r="F180" s="19">
        <f t="shared" si="12"/>
        <v>122.43</v>
      </c>
      <c r="G180" s="40">
        <f t="shared" si="13"/>
        <v>0.31523250424841653</v>
      </c>
      <c r="I180" s="4"/>
    </row>
    <row r="181" spans="1:9" ht="12.75">
      <c r="A181" s="16"/>
      <c r="B181" s="45" t="s">
        <v>40</v>
      </c>
      <c r="C181" s="33">
        <v>2004</v>
      </c>
      <c r="D181" s="46">
        <v>387.76</v>
      </c>
      <c r="E181" s="46">
        <v>265.95</v>
      </c>
      <c r="F181" s="19">
        <f t="shared" si="12"/>
        <v>121.81</v>
      </c>
      <c r="G181" s="40">
        <f t="shared" si="13"/>
        <v>0.3141376108933361</v>
      </c>
      <c r="I181" s="4"/>
    </row>
    <row r="182" spans="1:9" ht="12.75">
      <c r="A182" s="16"/>
      <c r="B182" s="45" t="s">
        <v>47</v>
      </c>
      <c r="C182" s="33">
        <v>2004</v>
      </c>
      <c r="D182" s="46">
        <v>386.75</v>
      </c>
      <c r="E182" s="46">
        <v>265.95</v>
      </c>
      <c r="F182" s="19">
        <f t="shared" si="12"/>
        <v>120.80000000000001</v>
      </c>
      <c r="G182" s="40">
        <f t="shared" si="13"/>
        <v>0.31234647705235946</v>
      </c>
      <c r="I182" s="4"/>
    </row>
    <row r="183" spans="1:9" ht="12.75">
      <c r="A183" s="16"/>
      <c r="B183" s="45" t="s">
        <v>48</v>
      </c>
      <c r="C183" s="33">
        <v>2004</v>
      </c>
      <c r="D183" s="46">
        <v>388.57</v>
      </c>
      <c r="E183" s="46">
        <v>265.95</v>
      </c>
      <c r="F183" s="19">
        <f t="shared" si="12"/>
        <v>122.62</v>
      </c>
      <c r="G183" s="40">
        <f t="shared" si="13"/>
        <v>0.31556733664462006</v>
      </c>
      <c r="I183" s="4"/>
    </row>
    <row r="184" spans="1:9" ht="12.75">
      <c r="A184" s="16"/>
      <c r="B184" s="45" t="s">
        <v>49</v>
      </c>
      <c r="C184" s="33">
        <v>2004</v>
      </c>
      <c r="D184" s="46">
        <v>388.98</v>
      </c>
      <c r="E184" s="46">
        <v>265.95</v>
      </c>
      <c r="F184" s="19">
        <f t="shared" si="12"/>
        <v>123.03000000000003</v>
      </c>
      <c r="G184" s="40">
        <f t="shared" si="13"/>
        <v>0.31628875520592326</v>
      </c>
      <c r="I184" s="4"/>
    </row>
    <row r="185" spans="1:9" ht="12.75">
      <c r="A185" s="16"/>
      <c r="B185" s="45" t="s">
        <v>50</v>
      </c>
      <c r="C185" s="33">
        <v>2004</v>
      </c>
      <c r="D185" s="46">
        <v>390.21</v>
      </c>
      <c r="E185" s="46">
        <v>265.95</v>
      </c>
      <c r="F185" s="19">
        <f t="shared" si="12"/>
        <v>124.25999999999999</v>
      </c>
      <c r="G185" s="40">
        <f t="shared" si="13"/>
        <v>0.31844391481509954</v>
      </c>
      <c r="I185" s="4"/>
    </row>
    <row r="186" spans="1:9" ht="12.75">
      <c r="A186" s="16"/>
      <c r="B186" s="45" t="s">
        <v>56</v>
      </c>
      <c r="C186" s="33">
        <v>2004</v>
      </c>
      <c r="D186" s="46">
        <v>392.26</v>
      </c>
      <c r="E186" s="46">
        <v>265.95</v>
      </c>
      <c r="F186" s="19">
        <f>+D186-E186</f>
        <v>126.31</v>
      </c>
      <c r="G186" s="40">
        <f>+F186/D186</f>
        <v>0.32200581247132004</v>
      </c>
      <c r="I186" s="4"/>
    </row>
    <row r="187" spans="1:9" ht="12.75">
      <c r="A187" s="16"/>
      <c r="B187" s="45" t="s">
        <v>41</v>
      </c>
      <c r="C187" s="33">
        <v>2004</v>
      </c>
      <c r="D187" s="46">
        <v>394.45</v>
      </c>
      <c r="E187" s="46">
        <v>265.95</v>
      </c>
      <c r="F187" s="19">
        <f>+D187-E187</f>
        <v>128.5</v>
      </c>
      <c r="G187" s="40">
        <f>+F187/D187</f>
        <v>0.3257700595766257</v>
      </c>
      <c r="I187" s="4"/>
    </row>
    <row r="188" spans="1:9" ht="12.75">
      <c r="A188" s="16"/>
      <c r="B188" s="45" t="s">
        <v>62</v>
      </c>
      <c r="C188" s="33">
        <v>2005</v>
      </c>
      <c r="D188" s="46">
        <v>417.57</v>
      </c>
      <c r="E188" s="46">
        <v>265.95</v>
      </c>
      <c r="F188" s="19">
        <f>+D188-E188</f>
        <v>151.62</v>
      </c>
      <c r="G188" s="40">
        <f>+F188/D188</f>
        <v>0.3631007974710827</v>
      </c>
      <c r="I188" s="4"/>
    </row>
    <row r="189" spans="1:9" ht="12.75">
      <c r="A189" s="16"/>
      <c r="B189" s="45" t="s">
        <v>36</v>
      </c>
      <c r="C189" s="33">
        <v>2005</v>
      </c>
      <c r="D189" s="46">
        <v>419.51</v>
      </c>
      <c r="E189" s="46">
        <v>268.09</v>
      </c>
      <c r="F189" s="19">
        <f>+D189-E189</f>
        <v>151.42000000000002</v>
      </c>
      <c r="G189" s="40">
        <f>+F189/D189</f>
        <v>0.36094491192105077</v>
      </c>
      <c r="I189" s="4"/>
    </row>
    <row r="190" spans="1:9" ht="12.75">
      <c r="A190" s="16"/>
      <c r="B190" s="45" t="s">
        <v>37</v>
      </c>
      <c r="C190" s="33">
        <v>2005</v>
      </c>
      <c r="D190" s="46">
        <v>421.4716681465371</v>
      </c>
      <c r="E190" s="46">
        <v>280</v>
      </c>
      <c r="F190" s="19">
        <f aca="true" t="shared" si="14" ref="F190:F217">+D190-E190</f>
        <v>141.47166814653713</v>
      </c>
      <c r="G190" s="40">
        <f aca="true" t="shared" si="15" ref="G190:G217">+F190/D190</f>
        <v>0.33566115788677475</v>
      </c>
      <c r="I190" s="4"/>
    </row>
    <row r="191" spans="1:9" ht="12.75">
      <c r="A191" s="16"/>
      <c r="B191" s="45" t="s">
        <v>38</v>
      </c>
      <c r="C191" s="33">
        <v>2005</v>
      </c>
      <c r="D191" s="46">
        <v>425.1247694818991</v>
      </c>
      <c r="E191" s="46">
        <v>280</v>
      </c>
      <c r="F191" s="19">
        <f t="shared" si="14"/>
        <v>145.12476948189908</v>
      </c>
      <c r="G191" s="40">
        <f t="shared" si="15"/>
        <v>0.3413698281066123</v>
      </c>
      <c r="I191" s="4"/>
    </row>
    <row r="192" spans="1:9" ht="12.75">
      <c r="A192" s="47" t="s">
        <v>63</v>
      </c>
      <c r="B192" s="30" t="s">
        <v>39</v>
      </c>
      <c r="C192" s="31">
        <v>2005</v>
      </c>
      <c r="D192" s="48">
        <v>425.3849073132118</v>
      </c>
      <c r="E192" s="48">
        <v>280</v>
      </c>
      <c r="F192" s="24">
        <f t="shared" si="14"/>
        <v>145.38490731321178</v>
      </c>
      <c r="G192" s="49">
        <f t="shared" si="15"/>
        <v>0.34177260362028916</v>
      </c>
      <c r="I192" s="4"/>
    </row>
    <row r="193" spans="1:9" ht="12.75">
      <c r="A193" s="47"/>
      <c r="B193" s="30" t="s">
        <v>40</v>
      </c>
      <c r="C193" s="31">
        <v>2005</v>
      </c>
      <c r="D193" s="48">
        <v>425.0951639271316</v>
      </c>
      <c r="E193" s="48">
        <v>280</v>
      </c>
      <c r="F193" s="24">
        <f t="shared" si="14"/>
        <v>145.09516392713158</v>
      </c>
      <c r="G193" s="49">
        <f t="shared" si="15"/>
        <v>0.34132395811494887</v>
      </c>
      <c r="I193" s="4"/>
    </row>
    <row r="194" spans="1:9" ht="12.75">
      <c r="A194" s="47"/>
      <c r="B194" s="30" t="s">
        <v>47</v>
      </c>
      <c r="C194" s="31">
        <v>2005</v>
      </c>
      <c r="D194" s="48">
        <v>425.84828724317424</v>
      </c>
      <c r="E194" s="48">
        <v>280</v>
      </c>
      <c r="F194" s="24">
        <f t="shared" si="14"/>
        <v>145.84828724317424</v>
      </c>
      <c r="G194" s="49">
        <f t="shared" si="15"/>
        <v>0.3424888431214701</v>
      </c>
      <c r="I194" s="4"/>
    </row>
    <row r="195" spans="1:9" ht="12.75">
      <c r="A195" s="47"/>
      <c r="B195" s="30" t="s">
        <v>48</v>
      </c>
      <c r="C195" s="31">
        <v>2005</v>
      </c>
      <c r="D195" s="48">
        <v>425.0951639271316</v>
      </c>
      <c r="E195" s="48">
        <v>280</v>
      </c>
      <c r="F195" s="24">
        <f t="shared" si="14"/>
        <v>145.09516392713158</v>
      </c>
      <c r="G195" s="49">
        <f t="shared" si="15"/>
        <v>0.34132395811494887</v>
      </c>
      <c r="I195" s="4"/>
    </row>
    <row r="196" spans="1:9" ht="12.75">
      <c r="A196" s="47"/>
      <c r="B196" s="30" t="s">
        <v>49</v>
      </c>
      <c r="C196" s="31">
        <v>2005</v>
      </c>
      <c r="D196" s="48">
        <v>426.74</v>
      </c>
      <c r="E196" s="48">
        <v>280</v>
      </c>
      <c r="F196" s="24">
        <f t="shared" si="14"/>
        <v>146.74</v>
      </c>
      <c r="G196" s="49">
        <f t="shared" si="15"/>
        <v>0.34386277358579</v>
      </c>
      <c r="I196" s="4"/>
    </row>
    <row r="197" spans="1:9" ht="12.75">
      <c r="A197" s="47"/>
      <c r="B197" s="30" t="s">
        <v>50</v>
      </c>
      <c r="C197" s="31">
        <v>2005</v>
      </c>
      <c r="D197" s="48">
        <v>432.11</v>
      </c>
      <c r="E197" s="48">
        <v>280</v>
      </c>
      <c r="F197" s="24">
        <f t="shared" si="14"/>
        <v>152.11</v>
      </c>
      <c r="G197" s="49">
        <f t="shared" si="15"/>
        <v>0.3520168475619634</v>
      </c>
      <c r="I197" s="4"/>
    </row>
    <row r="198" spans="1:9" ht="12.75">
      <c r="A198" s="47"/>
      <c r="B198" s="30" t="s">
        <v>56</v>
      </c>
      <c r="C198" s="31">
        <v>2005</v>
      </c>
      <c r="D198" s="48">
        <v>435.77</v>
      </c>
      <c r="E198" s="48">
        <v>280</v>
      </c>
      <c r="F198" s="24">
        <f t="shared" si="14"/>
        <v>155.76999999999998</v>
      </c>
      <c r="G198" s="49">
        <f t="shared" si="15"/>
        <v>0.3574592101337861</v>
      </c>
      <c r="I198" s="4"/>
    </row>
    <row r="199" spans="1:9" ht="12.75">
      <c r="A199" s="47"/>
      <c r="B199" s="30" t="s">
        <v>41</v>
      </c>
      <c r="C199" s="31">
        <v>2005</v>
      </c>
      <c r="D199" s="48">
        <v>437.41</v>
      </c>
      <c r="E199" s="48">
        <v>280</v>
      </c>
      <c r="F199" s="24">
        <f t="shared" si="14"/>
        <v>157.41000000000003</v>
      </c>
      <c r="G199" s="49">
        <f t="shared" si="15"/>
        <v>0.35986831576781514</v>
      </c>
      <c r="I199" s="4"/>
    </row>
    <row r="200" spans="1:9" ht="12.75">
      <c r="A200" s="47"/>
      <c r="B200" s="30" t="s">
        <v>35</v>
      </c>
      <c r="C200" s="31">
        <v>2006</v>
      </c>
      <c r="D200" s="48">
        <v>440.81</v>
      </c>
      <c r="E200" s="48">
        <v>298.67</v>
      </c>
      <c r="F200" s="24">
        <f t="shared" si="14"/>
        <v>142.14</v>
      </c>
      <c r="G200" s="49">
        <f t="shared" si="15"/>
        <v>0.3224518500034028</v>
      </c>
      <c r="I200" s="4"/>
    </row>
    <row r="201" spans="1:9" ht="12.75">
      <c r="A201" s="47"/>
      <c r="B201" s="30" t="s">
        <v>36</v>
      </c>
      <c r="C201" s="31">
        <v>2006</v>
      </c>
      <c r="D201" s="48">
        <v>442.17</v>
      </c>
      <c r="E201" s="48">
        <v>298.67</v>
      </c>
      <c r="F201" s="24">
        <f t="shared" si="14"/>
        <v>143.5</v>
      </c>
      <c r="G201" s="49">
        <f t="shared" si="15"/>
        <v>0.32453581201800213</v>
      </c>
      <c r="I201" s="4"/>
    </row>
    <row r="202" spans="1:9" ht="12.75">
      <c r="A202" s="47"/>
      <c r="B202" s="30" t="s">
        <v>37</v>
      </c>
      <c r="C202" s="31">
        <v>2006</v>
      </c>
      <c r="D202" s="48">
        <v>446.74</v>
      </c>
      <c r="E202" s="48">
        <v>298.67</v>
      </c>
      <c r="F202" s="24">
        <f t="shared" si="14"/>
        <v>148.07</v>
      </c>
      <c r="G202" s="50">
        <f t="shared" si="15"/>
        <v>0.33144558356090786</v>
      </c>
      <c r="I202" s="4"/>
    </row>
    <row r="203" spans="1:9" ht="12.75">
      <c r="A203" s="47"/>
      <c r="B203" s="30" t="s">
        <v>38</v>
      </c>
      <c r="C203" s="31">
        <v>2006</v>
      </c>
      <c r="D203" s="48">
        <v>446.57</v>
      </c>
      <c r="E203" s="48">
        <v>298.67</v>
      </c>
      <c r="F203" s="24">
        <f t="shared" si="14"/>
        <v>147.89999999999998</v>
      </c>
      <c r="G203" s="50">
        <f t="shared" si="15"/>
        <v>0.3311910786662785</v>
      </c>
      <c r="I203" s="4"/>
    </row>
    <row r="204" spans="1:9" ht="12.75">
      <c r="A204" s="47"/>
      <c r="B204" s="30" t="s">
        <v>39</v>
      </c>
      <c r="C204" s="31">
        <v>2006</v>
      </c>
      <c r="D204" s="48">
        <v>446.8</v>
      </c>
      <c r="E204" s="48">
        <v>298.67</v>
      </c>
      <c r="F204" s="24">
        <f t="shared" si="14"/>
        <v>148.13</v>
      </c>
      <c r="G204" s="49">
        <f t="shared" si="15"/>
        <v>0.3315353625783348</v>
      </c>
      <c r="I204" s="4"/>
    </row>
    <row r="205" spans="1:9" ht="12.75">
      <c r="A205" s="47"/>
      <c r="B205" s="30" t="s">
        <v>40</v>
      </c>
      <c r="C205" s="31">
        <v>2006</v>
      </c>
      <c r="D205" s="48">
        <v>444.95</v>
      </c>
      <c r="E205" s="48">
        <v>298.67</v>
      </c>
      <c r="F205" s="24">
        <f t="shared" si="14"/>
        <v>146.27999999999997</v>
      </c>
      <c r="G205" s="49">
        <f t="shared" si="15"/>
        <v>0.3287560400044948</v>
      </c>
      <c r="I205" s="4"/>
    </row>
    <row r="206" spans="1:9" ht="12.75">
      <c r="A206" s="47"/>
      <c r="B206" s="30" t="s">
        <v>47</v>
      </c>
      <c r="C206" s="31">
        <v>2006</v>
      </c>
      <c r="D206" s="48">
        <v>445.44</v>
      </c>
      <c r="E206" s="48">
        <v>298.67</v>
      </c>
      <c r="F206" s="24">
        <f t="shared" si="14"/>
        <v>146.76999999999998</v>
      </c>
      <c r="G206" s="49">
        <f t="shared" si="15"/>
        <v>0.3294944324712643</v>
      </c>
      <c r="I206" s="4"/>
    </row>
    <row r="207" spans="1:9" ht="12.75">
      <c r="A207" s="47"/>
      <c r="B207" s="30" t="s">
        <v>48</v>
      </c>
      <c r="C207" s="31">
        <v>2006</v>
      </c>
      <c r="D207" s="48">
        <v>447.49</v>
      </c>
      <c r="E207" s="48">
        <v>298.67</v>
      </c>
      <c r="F207" s="24">
        <f t="shared" si="14"/>
        <v>148.82</v>
      </c>
      <c r="G207" s="50">
        <f t="shared" si="15"/>
        <v>0.3325660908623656</v>
      </c>
      <c r="I207" s="4"/>
    </row>
    <row r="208" spans="1:9" ht="12.75">
      <c r="A208" s="47"/>
      <c r="B208" s="30" t="s">
        <v>49</v>
      </c>
      <c r="C208" s="31">
        <v>2006</v>
      </c>
      <c r="D208" s="48">
        <v>450.83</v>
      </c>
      <c r="E208" s="48">
        <v>298.67</v>
      </c>
      <c r="F208" s="24">
        <f t="shared" si="14"/>
        <v>152.15999999999997</v>
      </c>
      <c r="G208" s="49">
        <f t="shared" si="15"/>
        <v>0.3375108133886387</v>
      </c>
      <c r="I208" s="4"/>
    </row>
    <row r="209" spans="1:9" ht="12.75">
      <c r="A209" s="47"/>
      <c r="B209" s="22" t="s">
        <v>50</v>
      </c>
      <c r="C209" s="31">
        <v>2006</v>
      </c>
      <c r="D209" s="48">
        <v>453.2</v>
      </c>
      <c r="E209" s="48">
        <v>298.67</v>
      </c>
      <c r="F209" s="24">
        <f t="shared" si="14"/>
        <v>154.52999999999997</v>
      </c>
      <c r="G209" s="49">
        <f t="shared" si="15"/>
        <v>0.3409752868490732</v>
      </c>
      <c r="I209" s="4"/>
    </row>
    <row r="210" spans="1:9" ht="12.75">
      <c r="A210" s="47"/>
      <c r="B210" s="22" t="s">
        <v>56</v>
      </c>
      <c r="C210" s="31">
        <v>2006</v>
      </c>
      <c r="D210" s="48">
        <v>453.31</v>
      </c>
      <c r="E210" s="48">
        <v>298.67</v>
      </c>
      <c r="F210" s="24">
        <f t="shared" si="14"/>
        <v>154.64</v>
      </c>
      <c r="G210" s="49">
        <f t="shared" si="15"/>
        <v>0.3411352054885178</v>
      </c>
      <c r="I210" s="4"/>
    </row>
    <row r="211" spans="1:9" ht="12.75">
      <c r="A211" s="47"/>
      <c r="B211" s="30" t="s">
        <v>41</v>
      </c>
      <c r="C211" s="31">
        <v>2006</v>
      </c>
      <c r="D211" s="48">
        <v>453.26</v>
      </c>
      <c r="E211" s="48">
        <v>298.67</v>
      </c>
      <c r="F211" s="24">
        <f t="shared" si="14"/>
        <v>154.58999999999997</v>
      </c>
      <c r="G211" s="49">
        <f t="shared" si="15"/>
        <v>0.34106252482019145</v>
      </c>
      <c r="I211" s="4"/>
    </row>
    <row r="212" spans="1:9" ht="12.75">
      <c r="A212" s="16" t="s">
        <v>64</v>
      </c>
      <c r="B212" s="45" t="s">
        <v>35</v>
      </c>
      <c r="C212" s="33">
        <v>2007</v>
      </c>
      <c r="D212" s="46">
        <v>453.97</v>
      </c>
      <c r="E212" s="46">
        <v>317.34</v>
      </c>
      <c r="F212" s="19">
        <f t="shared" si="14"/>
        <v>136.63000000000005</v>
      </c>
      <c r="G212" s="40">
        <f t="shared" si="15"/>
        <v>0.300967024252704</v>
      </c>
      <c r="I212" s="4"/>
    </row>
    <row r="213" spans="1:9" ht="12.75">
      <c r="A213" s="16"/>
      <c r="B213" s="45" t="s">
        <v>36</v>
      </c>
      <c r="C213" s="33">
        <v>2007</v>
      </c>
      <c r="D213" s="46">
        <v>453.75</v>
      </c>
      <c r="E213" s="46">
        <v>317.34</v>
      </c>
      <c r="F213" s="19">
        <f t="shared" si="14"/>
        <v>136.41000000000003</v>
      </c>
      <c r="G213" s="40">
        <f t="shared" si="15"/>
        <v>0.30062809917355376</v>
      </c>
      <c r="I213" s="4"/>
    </row>
    <row r="214" spans="1:9" ht="12.75">
      <c r="A214" s="16"/>
      <c r="B214" s="45" t="s">
        <v>37</v>
      </c>
      <c r="C214" s="33">
        <v>2007</v>
      </c>
      <c r="D214" s="46">
        <v>454.29</v>
      </c>
      <c r="E214" s="46">
        <v>317.34</v>
      </c>
      <c r="F214" s="19">
        <f t="shared" si="14"/>
        <v>136.95000000000005</v>
      </c>
      <c r="G214" s="40">
        <f t="shared" si="15"/>
        <v>0.3014594201941492</v>
      </c>
      <c r="I214" s="4"/>
    </row>
    <row r="215" spans="1:9" ht="12.75">
      <c r="A215" s="16"/>
      <c r="B215" s="45" t="s">
        <v>38</v>
      </c>
      <c r="C215" s="33">
        <v>2007</v>
      </c>
      <c r="D215" s="46">
        <v>455</v>
      </c>
      <c r="E215" s="46">
        <v>317.34</v>
      </c>
      <c r="F215" s="19">
        <f t="shared" si="14"/>
        <v>137.66000000000003</v>
      </c>
      <c r="G215" s="40">
        <f t="shared" si="15"/>
        <v>0.3025494505494506</v>
      </c>
      <c r="I215" s="4"/>
    </row>
    <row r="216" spans="1:9" ht="12.75">
      <c r="A216" s="16"/>
      <c r="B216" s="45" t="s">
        <v>39</v>
      </c>
      <c r="C216" s="33">
        <v>2007</v>
      </c>
      <c r="D216" s="46">
        <v>455.29</v>
      </c>
      <c r="E216" s="46">
        <v>317.34</v>
      </c>
      <c r="F216" s="19">
        <f t="shared" si="14"/>
        <v>137.95000000000005</v>
      </c>
      <c r="G216" s="40">
        <f t="shared" si="15"/>
        <v>0.30299369632541906</v>
      </c>
      <c r="I216" s="4"/>
    </row>
    <row r="217" spans="1:9" ht="12.75">
      <c r="A217" s="16"/>
      <c r="B217" s="45" t="s">
        <v>40</v>
      </c>
      <c r="C217" s="33">
        <v>2007</v>
      </c>
      <c r="D217" s="46">
        <v>457.79</v>
      </c>
      <c r="E217" s="46">
        <v>317.34</v>
      </c>
      <c r="F217" s="19">
        <f t="shared" si="14"/>
        <v>140.45000000000005</v>
      </c>
      <c r="G217" s="40">
        <f t="shared" si="15"/>
        <v>0.3068000611634156</v>
      </c>
      <c r="I217" s="4"/>
    </row>
    <row r="218" spans="1:9" ht="12.75">
      <c r="A218" s="16"/>
      <c r="B218" s="45" t="s">
        <v>47</v>
      </c>
      <c r="C218" s="33">
        <v>2007</v>
      </c>
      <c r="D218" s="46">
        <v>461.75</v>
      </c>
      <c r="E218" s="46">
        <v>317.34</v>
      </c>
      <c r="F218" s="19">
        <f aca="true" t="shared" si="16" ref="F218:F232">+D218-E218</f>
        <v>144.41000000000003</v>
      </c>
      <c r="G218" s="40">
        <f aca="true" t="shared" si="17" ref="G218:G232">+F218/D218</f>
        <v>0.3127449918787223</v>
      </c>
      <c r="I218" s="4"/>
    </row>
    <row r="219" spans="1:9" ht="12.75">
      <c r="A219" s="16"/>
      <c r="B219" s="45" t="s">
        <v>48</v>
      </c>
      <c r="C219" s="33">
        <v>2007</v>
      </c>
      <c r="D219" s="46">
        <v>463</v>
      </c>
      <c r="E219" s="46">
        <v>317.34</v>
      </c>
      <c r="F219" s="19">
        <f t="shared" si="16"/>
        <v>145.66000000000003</v>
      </c>
      <c r="G219" s="40">
        <f t="shared" si="17"/>
        <v>0.3146004319654428</v>
      </c>
      <c r="I219" s="4"/>
    </row>
    <row r="220" spans="1:9" ht="12.75">
      <c r="A220" s="16"/>
      <c r="B220" s="45" t="s">
        <v>49</v>
      </c>
      <c r="C220" s="33">
        <v>2007</v>
      </c>
      <c r="D220" s="46">
        <v>464.9</v>
      </c>
      <c r="E220" s="46">
        <v>317.34</v>
      </c>
      <c r="F220" s="19">
        <f t="shared" si="16"/>
        <v>147.56</v>
      </c>
      <c r="G220" s="40">
        <f t="shared" si="17"/>
        <v>0.3174015917401592</v>
      </c>
      <c r="I220" s="4"/>
    </row>
    <row r="221" spans="1:9" ht="12.75">
      <c r="A221" s="16"/>
      <c r="B221" s="45" t="s">
        <v>50</v>
      </c>
      <c r="C221" s="33">
        <v>2007</v>
      </c>
      <c r="D221" s="46">
        <v>467.57</v>
      </c>
      <c r="E221" s="46">
        <v>317.34</v>
      </c>
      <c r="F221" s="19">
        <f t="shared" si="16"/>
        <v>150.23000000000002</v>
      </c>
      <c r="G221" s="40">
        <f t="shared" si="17"/>
        <v>0.32129948456915547</v>
      </c>
      <c r="I221" s="4"/>
    </row>
    <row r="222" spans="1:9" ht="12.75">
      <c r="A222" s="16"/>
      <c r="B222" s="45" t="s">
        <v>56</v>
      </c>
      <c r="C222" s="33">
        <v>2007</v>
      </c>
      <c r="D222" s="46">
        <v>469.57</v>
      </c>
      <c r="E222" s="46">
        <v>317.34</v>
      </c>
      <c r="F222" s="19">
        <f t="shared" si="16"/>
        <v>152.23000000000002</v>
      </c>
      <c r="G222" s="40">
        <f t="shared" si="17"/>
        <v>0.32419021658112745</v>
      </c>
      <c r="I222" s="4"/>
    </row>
    <row r="223" spans="1:9" ht="12.75">
      <c r="A223" s="16"/>
      <c r="B223" s="45" t="s">
        <v>41</v>
      </c>
      <c r="C223" s="33">
        <v>2007</v>
      </c>
      <c r="D223" s="46">
        <v>472.74</v>
      </c>
      <c r="E223" s="46">
        <v>317.34</v>
      </c>
      <c r="F223" s="19">
        <f t="shared" si="16"/>
        <v>155.40000000000003</v>
      </c>
      <c r="G223" s="40">
        <f t="shared" si="17"/>
        <v>0.3287219190252571</v>
      </c>
      <c r="I223" s="4"/>
    </row>
    <row r="224" spans="1:9" ht="12.75">
      <c r="A224" s="16"/>
      <c r="B224" s="45" t="s">
        <v>35</v>
      </c>
      <c r="C224" s="33">
        <v>2008</v>
      </c>
      <c r="D224" s="46">
        <v>478.82</v>
      </c>
      <c r="E224" s="46">
        <v>373.34</v>
      </c>
      <c r="F224" s="19">
        <f t="shared" si="16"/>
        <v>105.48000000000002</v>
      </c>
      <c r="G224" s="40">
        <f t="shared" si="17"/>
        <v>0.2202915500605656</v>
      </c>
      <c r="I224" s="4"/>
    </row>
    <row r="225" spans="1:9" ht="12.75">
      <c r="A225" s="16"/>
      <c r="B225" s="45" t="s">
        <v>36</v>
      </c>
      <c r="C225" s="33">
        <v>2008</v>
      </c>
      <c r="D225" s="46">
        <v>483.1</v>
      </c>
      <c r="E225" s="46">
        <v>373.34</v>
      </c>
      <c r="F225" s="19">
        <f t="shared" si="16"/>
        <v>109.76000000000005</v>
      </c>
      <c r="G225" s="40">
        <f t="shared" si="17"/>
        <v>0.2271993376112607</v>
      </c>
      <c r="I225" s="4"/>
    </row>
    <row r="226" spans="1:9" ht="12.75">
      <c r="A226" s="16"/>
      <c r="B226" s="45" t="s">
        <v>37</v>
      </c>
      <c r="C226" s="33">
        <v>2008</v>
      </c>
      <c r="D226" s="46">
        <v>488.83</v>
      </c>
      <c r="E226" s="46">
        <v>373.34</v>
      </c>
      <c r="F226" s="19">
        <f t="shared" si="16"/>
        <v>115.49000000000001</v>
      </c>
      <c r="G226" s="40">
        <f t="shared" si="17"/>
        <v>0.2362580038050038</v>
      </c>
      <c r="I226" s="4"/>
    </row>
    <row r="227" spans="1:9" ht="12.75">
      <c r="A227" s="16"/>
      <c r="B227" s="45" t="s">
        <v>38</v>
      </c>
      <c r="C227" s="33">
        <v>2008</v>
      </c>
      <c r="D227" s="46">
        <v>495.82</v>
      </c>
      <c r="E227" s="46">
        <v>373.34</v>
      </c>
      <c r="F227" s="19">
        <f t="shared" si="16"/>
        <v>122.48000000000002</v>
      </c>
      <c r="G227" s="40">
        <f t="shared" si="17"/>
        <v>0.2470251300875318</v>
      </c>
      <c r="I227" s="4"/>
    </row>
    <row r="228" spans="1:9" ht="12.75">
      <c r="A228" s="16"/>
      <c r="B228" s="45" t="s">
        <v>39</v>
      </c>
      <c r="C228" s="33">
        <v>2008</v>
      </c>
      <c r="D228" s="46">
        <v>503.05</v>
      </c>
      <c r="E228" s="46">
        <v>373.34</v>
      </c>
      <c r="F228" s="19">
        <f t="shared" si="16"/>
        <v>129.71000000000004</v>
      </c>
      <c r="G228" s="40">
        <f t="shared" si="17"/>
        <v>0.2578471324918001</v>
      </c>
      <c r="I228" s="4"/>
    </row>
    <row r="229" spans="1:9" ht="12.75">
      <c r="A229" s="16"/>
      <c r="B229" s="45" t="s">
        <v>40</v>
      </c>
      <c r="C229" s="33">
        <v>2008</v>
      </c>
      <c r="D229" s="46">
        <v>506.84</v>
      </c>
      <c r="E229" s="46">
        <v>373.34</v>
      </c>
      <c r="F229" s="19">
        <f t="shared" si="16"/>
        <v>133.5</v>
      </c>
      <c r="G229" s="40">
        <f t="shared" si="17"/>
        <v>0.26339673269670905</v>
      </c>
      <c r="I229" s="4"/>
    </row>
    <row r="230" spans="1:9" ht="12.75">
      <c r="A230" s="16"/>
      <c r="B230" s="45" t="s">
        <v>47</v>
      </c>
      <c r="C230" s="33">
        <v>2008</v>
      </c>
      <c r="D230" s="46">
        <v>507.48</v>
      </c>
      <c r="E230" s="46">
        <v>373.34</v>
      </c>
      <c r="F230" s="19">
        <f t="shared" si="16"/>
        <v>134.14000000000004</v>
      </c>
      <c r="G230" s="40">
        <f t="shared" si="17"/>
        <v>0.26432568771183107</v>
      </c>
      <c r="I230" s="4"/>
    </row>
    <row r="231" spans="1:9" ht="12.75">
      <c r="A231" s="16"/>
      <c r="B231" s="45" t="s">
        <v>48</v>
      </c>
      <c r="C231" s="33">
        <v>2008</v>
      </c>
      <c r="D231" s="46">
        <v>507.84</v>
      </c>
      <c r="E231" s="46">
        <v>373.34</v>
      </c>
      <c r="F231" s="19">
        <f t="shared" si="16"/>
        <v>134.5</v>
      </c>
      <c r="G231" s="51">
        <f t="shared" si="17"/>
        <v>0.2648471959672338</v>
      </c>
      <c r="I231" s="4"/>
    </row>
    <row r="232" spans="1:9" ht="12.75">
      <c r="A232" s="16"/>
      <c r="B232" s="45" t="s">
        <v>49</v>
      </c>
      <c r="C232" s="33">
        <v>2008</v>
      </c>
      <c r="D232" s="46">
        <v>509.35</v>
      </c>
      <c r="E232" s="46">
        <v>373.34</v>
      </c>
      <c r="F232" s="19">
        <f t="shared" si="16"/>
        <v>136.01000000000005</v>
      </c>
      <c r="G232" s="51">
        <f t="shared" si="17"/>
        <v>0.2670266025326397</v>
      </c>
      <c r="I232" s="4"/>
    </row>
    <row r="233" spans="1:9" ht="12.75">
      <c r="A233" s="16"/>
      <c r="B233" s="45" t="s">
        <v>50</v>
      </c>
      <c r="C233" s="33">
        <v>2008</v>
      </c>
      <c r="D233" s="46">
        <v>507.32</v>
      </c>
      <c r="E233" s="46">
        <v>373.34</v>
      </c>
      <c r="F233" s="19">
        <f aca="true" t="shared" si="18" ref="F233:F238">+D233-E233</f>
        <v>133.98000000000002</v>
      </c>
      <c r="G233" s="51">
        <f aca="true" t="shared" si="19" ref="G233:G238">+F233/D233</f>
        <v>0.264093668690373</v>
      </c>
      <c r="I233" s="4"/>
    </row>
    <row r="234" spans="1:9" ht="12.75">
      <c r="A234" s="16"/>
      <c r="B234" s="45" t="s">
        <v>56</v>
      </c>
      <c r="C234" s="33">
        <v>2008</v>
      </c>
      <c r="D234" s="46">
        <v>506.79</v>
      </c>
      <c r="E234" s="46">
        <v>373.34</v>
      </c>
      <c r="F234" s="19">
        <f t="shared" si="18"/>
        <v>133.45000000000005</v>
      </c>
      <c r="G234" s="51">
        <f t="shared" si="19"/>
        <v>0.263324059275045</v>
      </c>
      <c r="I234" s="4"/>
    </row>
    <row r="235" spans="1:9" ht="12.75">
      <c r="A235" s="16"/>
      <c r="B235" s="45" t="s">
        <v>41</v>
      </c>
      <c r="C235" s="33">
        <v>2008</v>
      </c>
      <c r="D235" s="46">
        <v>508.94</v>
      </c>
      <c r="E235" s="46">
        <v>373.34</v>
      </c>
      <c r="F235" s="19">
        <f t="shared" si="18"/>
        <v>135.60000000000002</v>
      </c>
      <c r="G235" s="51">
        <f t="shared" si="19"/>
        <v>0.2664361221362047</v>
      </c>
      <c r="I235" s="4"/>
    </row>
    <row r="236" spans="1:9" ht="12.75">
      <c r="A236" s="16"/>
      <c r="B236" s="45" t="s">
        <v>35</v>
      </c>
      <c r="C236" s="33">
        <v>2009</v>
      </c>
      <c r="D236" s="46">
        <v>512.03</v>
      </c>
      <c r="E236" s="46">
        <v>406.93</v>
      </c>
      <c r="F236" s="19">
        <f t="shared" si="18"/>
        <v>105.09999999999997</v>
      </c>
      <c r="G236" s="51">
        <f t="shared" si="19"/>
        <v>0.20526141046423055</v>
      </c>
      <c r="I236" s="4"/>
    </row>
    <row r="237" spans="1:9" ht="12.75">
      <c r="A237" s="16"/>
      <c r="B237" s="45" t="s">
        <v>36</v>
      </c>
      <c r="C237" s="33">
        <v>2009</v>
      </c>
      <c r="D237" s="46">
        <v>513.27</v>
      </c>
      <c r="E237" s="46">
        <v>406.93</v>
      </c>
      <c r="F237" s="19">
        <f t="shared" si="18"/>
        <v>106.33999999999997</v>
      </c>
      <c r="G237" s="51">
        <f t="shared" si="19"/>
        <v>0.2071814054980809</v>
      </c>
      <c r="I237" s="4"/>
    </row>
    <row r="238" spans="1:9" ht="12.75">
      <c r="A238" s="16"/>
      <c r="B238" s="45" t="s">
        <v>37</v>
      </c>
      <c r="C238" s="33">
        <v>2009</v>
      </c>
      <c r="D238" s="46">
        <v>519.9</v>
      </c>
      <c r="E238" s="46">
        <v>406.93</v>
      </c>
      <c r="F238" s="19">
        <f t="shared" si="18"/>
        <v>112.96999999999997</v>
      </c>
      <c r="G238" s="51">
        <f t="shared" si="19"/>
        <v>0.21729178688209266</v>
      </c>
      <c r="I238" s="4"/>
    </row>
    <row r="239" spans="1:9" ht="12.75">
      <c r="A239" s="16"/>
      <c r="B239" s="45" t="s">
        <v>38</v>
      </c>
      <c r="C239" s="33">
        <v>2009</v>
      </c>
      <c r="D239" s="46">
        <v>522.76</v>
      </c>
      <c r="E239" s="46">
        <v>406.93</v>
      </c>
      <c r="F239" s="19">
        <f>+D239-E239</f>
        <v>115.82999999999998</v>
      </c>
      <c r="G239" s="51">
        <f>+F239/D239</f>
        <v>0.22157395363072918</v>
      </c>
      <c r="I239" s="4"/>
    </row>
    <row r="240" spans="1:9" ht="12.75">
      <c r="A240" s="16"/>
      <c r="B240" s="45" t="s">
        <v>39</v>
      </c>
      <c r="C240" s="33">
        <v>2009</v>
      </c>
      <c r="D240" s="46">
        <v>522.75</v>
      </c>
      <c r="E240" s="46">
        <v>406.93</v>
      </c>
      <c r="F240" s="19">
        <f>+D240-E240</f>
        <v>115.82</v>
      </c>
      <c r="G240" s="51">
        <f>+F240/D240</f>
        <v>0.22155906264945002</v>
      </c>
      <c r="I240" s="4"/>
    </row>
    <row r="241" spans="1:9" ht="12.75">
      <c r="A241" s="16"/>
      <c r="B241" s="45" t="s">
        <v>40</v>
      </c>
      <c r="C241" s="33">
        <v>2009</v>
      </c>
      <c r="D241" s="46">
        <v>522.38</v>
      </c>
      <c r="E241" s="46">
        <v>406.93</v>
      </c>
      <c r="F241" s="19">
        <f>+D241-E241</f>
        <v>115.44999999999999</v>
      </c>
      <c r="G241" s="51">
        <f>+F241/D241</f>
        <v>0.2210076955473027</v>
      </c>
      <c r="I241" s="4"/>
    </row>
    <row r="242" spans="1:9" ht="12.75">
      <c r="A242" s="16"/>
      <c r="B242" s="45" t="s">
        <v>47</v>
      </c>
      <c r="C242" s="33">
        <v>2009</v>
      </c>
      <c r="D242" s="46">
        <v>521.73</v>
      </c>
      <c r="E242" s="46">
        <v>406.93</v>
      </c>
      <c r="F242" s="19">
        <f>+D242-E242</f>
        <v>114.80000000000001</v>
      </c>
      <c r="G242" s="51">
        <f>+F242/D242</f>
        <v>0.22003718398405306</v>
      </c>
      <c r="I242" s="4"/>
    </row>
    <row r="243" spans="1:9" ht="12.75">
      <c r="A243" s="16"/>
      <c r="B243" s="45" t="s">
        <v>48</v>
      </c>
      <c r="C243" s="33">
        <v>2009</v>
      </c>
      <c r="D243" s="46">
        <v>519.3</v>
      </c>
      <c r="E243" s="46">
        <v>406.93</v>
      </c>
      <c r="F243" s="19">
        <f>+D243-E243</f>
        <v>112.36999999999995</v>
      </c>
      <c r="G243" s="51">
        <f>+F243/D243</f>
        <v>0.2163874446370113</v>
      </c>
      <c r="I243" s="4"/>
    </row>
    <row r="244" spans="1:9" ht="12.75">
      <c r="A244" s="16"/>
      <c r="B244" s="45" t="s">
        <v>49</v>
      </c>
      <c r="C244" s="33">
        <v>2009</v>
      </c>
      <c r="D244" s="46">
        <v>521.26</v>
      </c>
      <c r="E244" s="46">
        <v>406.93</v>
      </c>
      <c r="F244" s="19">
        <f aca="true" t="shared" si="20" ref="F244:F251">+D244-E244</f>
        <v>114.32999999999998</v>
      </c>
      <c r="G244" s="51">
        <f aca="true" t="shared" si="21" ref="G244:G251">+F244/D244</f>
        <v>0.21933392165138316</v>
      </c>
      <c r="I244" s="4"/>
    </row>
    <row r="245" spans="1:9" ht="12.75">
      <c r="A245" s="16"/>
      <c r="B245" s="45" t="s">
        <v>50</v>
      </c>
      <c r="C245" s="33">
        <v>2009</v>
      </c>
      <c r="D245" s="46">
        <v>522.34</v>
      </c>
      <c r="E245" s="46">
        <v>406.93</v>
      </c>
      <c r="F245" s="19">
        <f t="shared" si="20"/>
        <v>115.41000000000003</v>
      </c>
      <c r="G245" s="51">
        <f t="shared" si="21"/>
        <v>0.22094804150553282</v>
      </c>
      <c r="I245" s="4"/>
    </row>
    <row r="246" spans="1:9" ht="12.75">
      <c r="A246" s="16"/>
      <c r="B246" s="45" t="s">
        <v>56</v>
      </c>
      <c r="C246" s="33">
        <v>2009</v>
      </c>
      <c r="D246" s="46">
        <v>522.59</v>
      </c>
      <c r="E246" s="46">
        <v>406.93</v>
      </c>
      <c r="F246" s="19">
        <f t="shared" si="20"/>
        <v>115.66000000000003</v>
      </c>
      <c r="G246" s="51">
        <f t="shared" si="21"/>
        <v>0.2213207294437322</v>
      </c>
      <c r="I246" s="4"/>
    </row>
    <row r="247" spans="1:9" ht="12.75">
      <c r="A247" s="16"/>
      <c r="B247" s="45" t="s">
        <v>41</v>
      </c>
      <c r="C247" s="33">
        <v>2009</v>
      </c>
      <c r="D247" s="46">
        <v>528.9</v>
      </c>
      <c r="E247" s="46">
        <v>406.93</v>
      </c>
      <c r="F247" s="19">
        <f t="shared" si="20"/>
        <v>121.96999999999997</v>
      </c>
      <c r="G247" s="51">
        <f t="shared" si="21"/>
        <v>0.23061070145585172</v>
      </c>
      <c r="I247" s="4"/>
    </row>
    <row r="248" spans="1:9" ht="12.75">
      <c r="A248" s="16"/>
      <c r="B248" s="45" t="s">
        <v>35</v>
      </c>
      <c r="C248" s="33">
        <v>2010</v>
      </c>
      <c r="D248" s="46">
        <v>534.33</v>
      </c>
      <c r="E248" s="46">
        <v>448</v>
      </c>
      <c r="F248" s="19">
        <f t="shared" si="20"/>
        <v>86.33000000000004</v>
      </c>
      <c r="G248" s="51">
        <f t="shared" si="21"/>
        <v>0.16156682200138497</v>
      </c>
      <c r="I248" s="4"/>
    </row>
    <row r="249" spans="1:9" ht="12.75">
      <c r="A249" s="16"/>
      <c r="B249" s="45" t="s">
        <v>36</v>
      </c>
      <c r="C249" s="33">
        <v>2010</v>
      </c>
      <c r="D249" s="46">
        <v>535.48</v>
      </c>
      <c r="E249" s="46">
        <v>448</v>
      </c>
      <c r="F249" s="19">
        <f t="shared" si="20"/>
        <v>87.48000000000002</v>
      </c>
      <c r="G249" s="51">
        <f t="shared" si="21"/>
        <v>0.16336744602973036</v>
      </c>
      <c r="I249" s="4"/>
    </row>
    <row r="250" spans="1:9" ht="12.75">
      <c r="A250" s="16"/>
      <c r="B250" s="45" t="s">
        <v>37</v>
      </c>
      <c r="C250" s="33">
        <v>2010</v>
      </c>
      <c r="D250" s="46">
        <v>535.56</v>
      </c>
      <c r="E250" s="46">
        <v>448</v>
      </c>
      <c r="F250" s="19">
        <f t="shared" si="20"/>
        <v>87.55999999999995</v>
      </c>
      <c r="G250" s="51">
        <f t="shared" si="21"/>
        <v>0.16349241915004847</v>
      </c>
      <c r="I250" s="4"/>
    </row>
    <row r="251" spans="1:9" ht="12.75">
      <c r="A251" s="16"/>
      <c r="B251" s="45" t="s">
        <v>38</v>
      </c>
      <c r="C251" s="33">
        <v>2010</v>
      </c>
      <c r="D251" s="46">
        <v>539.67</v>
      </c>
      <c r="E251" s="46">
        <v>448</v>
      </c>
      <c r="F251" s="19">
        <f t="shared" si="20"/>
        <v>91.66999999999996</v>
      </c>
      <c r="G251" s="51">
        <f t="shared" si="21"/>
        <v>0.16986306446532135</v>
      </c>
      <c r="I251" s="4"/>
    </row>
    <row r="252" spans="1:9" ht="12.75">
      <c r="A252" s="16"/>
      <c r="B252" s="45" t="s">
        <v>39</v>
      </c>
      <c r="C252" s="33">
        <v>2010</v>
      </c>
      <c r="D252" s="46">
        <v>538.89</v>
      </c>
      <c r="E252" s="46">
        <v>448</v>
      </c>
      <c r="F252" s="19">
        <f>+D252-E252</f>
        <v>90.88999999999999</v>
      </c>
      <c r="G252" s="51">
        <f>+F252/D252</f>
        <v>0.16866150791441664</v>
      </c>
      <c r="I252" s="4"/>
    </row>
    <row r="253" spans="1:9" ht="12.75">
      <c r="A253" s="16"/>
      <c r="B253" s="45" t="s">
        <v>40</v>
      </c>
      <c r="C253" s="33">
        <v>2010</v>
      </c>
      <c r="D253" s="46">
        <v>538.12</v>
      </c>
      <c r="E253" s="46">
        <v>448</v>
      </c>
      <c r="F253" s="19">
        <f>+D253-E253</f>
        <v>90.12</v>
      </c>
      <c r="G253" s="51">
        <f>+F253/D253</f>
        <v>0.16747193934438415</v>
      </c>
      <c r="I253" s="4"/>
    </row>
    <row r="254" spans="1:9" ht="12.75">
      <c r="A254" s="16"/>
      <c r="B254" s="45" t="s">
        <v>47</v>
      </c>
      <c r="C254" s="33">
        <v>2010</v>
      </c>
      <c r="D254" s="46">
        <v>536.93</v>
      </c>
      <c r="E254" s="46">
        <v>448</v>
      </c>
      <c r="F254" s="19">
        <f>+D254-E254</f>
        <v>88.92999999999995</v>
      </c>
      <c r="G254" s="51">
        <f>+F254/D254</f>
        <v>0.16562680423891374</v>
      </c>
      <c r="I254" s="4"/>
    </row>
    <row r="255" spans="1:9" ht="12.75">
      <c r="A255" s="16"/>
      <c r="B255" s="45" t="s">
        <v>48</v>
      </c>
      <c r="C255" s="33">
        <v>2010</v>
      </c>
      <c r="D255" s="46">
        <v>538.73</v>
      </c>
      <c r="E255" s="46">
        <v>448</v>
      </c>
      <c r="F255" s="19">
        <f>+D255-E255</f>
        <v>90.73000000000002</v>
      </c>
      <c r="G255" s="51">
        <f>+F255/D255</f>
        <v>0.16841460471850467</v>
      </c>
      <c r="I255" s="4"/>
    </row>
    <row r="256" spans="1:9" ht="12.75">
      <c r="A256" s="16"/>
      <c r="B256" s="45" t="s">
        <v>49</v>
      </c>
      <c r="C256" s="33">
        <v>2010</v>
      </c>
      <c r="D256" s="46">
        <v>539.36</v>
      </c>
      <c r="E256" s="46">
        <v>448</v>
      </c>
      <c r="F256" s="19">
        <f>+D256-E256</f>
        <v>91.36000000000001</v>
      </c>
      <c r="G256" s="51">
        <f>+F256/D256</f>
        <v>0.16938593889053696</v>
      </c>
      <c r="I256" s="4"/>
    </row>
    <row r="257" spans="1:9" ht="12.75">
      <c r="A257" s="16"/>
      <c r="B257" s="52" t="s">
        <v>50</v>
      </c>
      <c r="C257" s="33">
        <v>2010</v>
      </c>
      <c r="D257" s="46">
        <v>540.1</v>
      </c>
      <c r="E257" s="46">
        <v>448</v>
      </c>
      <c r="F257" s="19">
        <f aca="true" t="shared" si="22" ref="F257:F264">+D257-E257</f>
        <v>92.10000000000002</v>
      </c>
      <c r="G257" s="51">
        <f aca="true" t="shared" si="23" ref="G257:G264">+F257/D257</f>
        <v>0.1705239770412887</v>
      </c>
      <c r="I257" s="4"/>
    </row>
    <row r="258" spans="1:9" ht="12.75">
      <c r="A258" s="16"/>
      <c r="B258" s="52" t="s">
        <v>56</v>
      </c>
      <c r="C258" s="33">
        <v>2010</v>
      </c>
      <c r="D258" s="46">
        <v>541.82</v>
      </c>
      <c r="E258" s="46">
        <v>448</v>
      </c>
      <c r="F258" s="19">
        <f t="shared" si="22"/>
        <v>93.82000000000005</v>
      </c>
      <c r="G258" s="51">
        <f t="shared" si="23"/>
        <v>0.17315713705658714</v>
      </c>
      <c r="I258" s="4"/>
    </row>
    <row r="259" spans="1:9" ht="12.75">
      <c r="A259" s="16"/>
      <c r="B259" s="52" t="s">
        <v>41</v>
      </c>
      <c r="C259" s="33">
        <v>2010</v>
      </c>
      <c r="D259" s="46">
        <v>544.71</v>
      </c>
      <c r="E259" s="46">
        <v>448</v>
      </c>
      <c r="F259" s="19">
        <f t="shared" si="22"/>
        <v>96.71000000000004</v>
      </c>
      <c r="G259" s="51">
        <f t="shared" si="23"/>
        <v>0.17754401424611266</v>
      </c>
      <c r="I259" s="4"/>
    </row>
    <row r="260" spans="1:9" ht="12.75">
      <c r="A260" s="16"/>
      <c r="B260" s="52" t="s">
        <v>35</v>
      </c>
      <c r="C260" s="33">
        <v>2011</v>
      </c>
      <c r="D260" s="46">
        <v>548.63</v>
      </c>
      <c r="E260" s="46">
        <v>492.8</v>
      </c>
      <c r="F260" s="19">
        <f t="shared" si="22"/>
        <v>55.829999999999984</v>
      </c>
      <c r="G260" s="51">
        <f t="shared" si="23"/>
        <v>0.10176257222536132</v>
      </c>
      <c r="I260" s="4"/>
    </row>
    <row r="261" spans="1:9" ht="12.75">
      <c r="A261" s="16"/>
      <c r="B261" s="52" t="s">
        <v>36</v>
      </c>
      <c r="C261" s="33">
        <v>2011</v>
      </c>
      <c r="D261" s="46">
        <v>551.24</v>
      </c>
      <c r="E261" s="46">
        <v>492.8</v>
      </c>
      <c r="F261" s="19">
        <f t="shared" si="22"/>
        <v>58.44</v>
      </c>
      <c r="G261" s="51">
        <f t="shared" si="23"/>
        <v>0.10601552862636963</v>
      </c>
      <c r="I261" s="4"/>
    </row>
    <row r="262" spans="1:9" ht="12.75">
      <c r="A262" s="16"/>
      <c r="B262" s="52" t="s">
        <v>37</v>
      </c>
      <c r="C262" s="33">
        <v>2011</v>
      </c>
      <c r="D262" s="46">
        <v>551.87</v>
      </c>
      <c r="E262" s="46">
        <v>492.8</v>
      </c>
      <c r="F262" s="19">
        <f t="shared" si="22"/>
        <v>59.06999999999999</v>
      </c>
      <c r="G262" s="51">
        <f t="shared" si="23"/>
        <v>0.107036077337054</v>
      </c>
      <c r="I262" s="4"/>
    </row>
    <row r="263" spans="1:9" ht="12.75">
      <c r="A263" s="16"/>
      <c r="B263" s="52" t="s">
        <v>38</v>
      </c>
      <c r="C263" s="33">
        <v>2011</v>
      </c>
      <c r="D263" s="46">
        <v>555.27</v>
      </c>
      <c r="E263" s="46">
        <v>492.8</v>
      </c>
      <c r="F263" s="19">
        <f t="shared" si="22"/>
        <v>62.46999999999997</v>
      </c>
      <c r="G263" s="51">
        <f t="shared" si="23"/>
        <v>0.11250382696706102</v>
      </c>
      <c r="I263" s="4"/>
    </row>
    <row r="264" spans="1:9" ht="12.75">
      <c r="A264" s="16"/>
      <c r="B264" s="52" t="s">
        <v>39</v>
      </c>
      <c r="C264" s="33">
        <v>2011</v>
      </c>
      <c r="D264" s="46">
        <v>557.44</v>
      </c>
      <c r="E264" s="46">
        <v>492.8</v>
      </c>
      <c r="F264" s="19">
        <f t="shared" si="22"/>
        <v>64.64000000000004</v>
      </c>
      <c r="G264" s="51">
        <f t="shared" si="23"/>
        <v>0.11595866819747423</v>
      </c>
      <c r="I264" s="4"/>
    </row>
    <row r="265" spans="1:9" ht="12.75">
      <c r="A265" s="16"/>
      <c r="B265" s="52" t="s">
        <v>40</v>
      </c>
      <c r="C265" s="33">
        <v>2011</v>
      </c>
      <c r="D265" s="46">
        <v>556.93</v>
      </c>
      <c r="E265" s="46">
        <v>492.8</v>
      </c>
      <c r="F265" s="19">
        <f aca="true" t="shared" si="24" ref="F265:F275">+D265-E265</f>
        <v>64.12999999999994</v>
      </c>
      <c r="G265" s="51">
        <f aca="true" t="shared" si="25" ref="G265:G275">+F265/D265</f>
        <v>0.11514912107446168</v>
      </c>
      <c r="I265" s="4"/>
    </row>
    <row r="266" spans="1:9" ht="12.75">
      <c r="A266" s="16"/>
      <c r="B266" s="52" t="s">
        <v>47</v>
      </c>
      <c r="C266" s="33">
        <v>2011</v>
      </c>
      <c r="D266" s="46">
        <v>559.41</v>
      </c>
      <c r="E266" s="46">
        <v>492.8</v>
      </c>
      <c r="F266" s="19">
        <f t="shared" si="24"/>
        <v>66.60999999999996</v>
      </c>
      <c r="G266" s="51">
        <f t="shared" si="25"/>
        <v>0.11907187930140677</v>
      </c>
      <c r="I266" s="4"/>
    </row>
    <row r="267" spans="1:9" ht="12.75">
      <c r="A267" s="16"/>
      <c r="B267" s="52" t="s">
        <v>48</v>
      </c>
      <c r="C267" s="33">
        <v>2011</v>
      </c>
      <c r="D267" s="46">
        <v>563.75</v>
      </c>
      <c r="E267" s="46">
        <v>492.8</v>
      </c>
      <c r="F267" s="19">
        <f t="shared" si="24"/>
        <v>70.94999999999999</v>
      </c>
      <c r="G267" s="51">
        <f t="shared" si="25"/>
        <v>0.12585365853658534</v>
      </c>
      <c r="I267" s="4"/>
    </row>
    <row r="268" spans="1:9" ht="12.75">
      <c r="A268" s="16"/>
      <c r="B268" s="52" t="s">
        <v>49</v>
      </c>
      <c r="C268" s="33">
        <v>2011</v>
      </c>
      <c r="D268" s="46">
        <v>567.41</v>
      </c>
      <c r="E268" s="46">
        <v>492.8</v>
      </c>
      <c r="F268" s="19">
        <f t="shared" si="24"/>
        <v>74.60999999999996</v>
      </c>
      <c r="G268" s="51">
        <f t="shared" si="25"/>
        <v>0.13149221903033073</v>
      </c>
      <c r="I268" s="4"/>
    </row>
    <row r="269" spans="1:9" ht="12.75">
      <c r="A269" s="16"/>
      <c r="B269" s="52" t="s">
        <v>50</v>
      </c>
      <c r="C269" s="33">
        <v>2011</v>
      </c>
      <c r="D269" s="46">
        <v>571.08</v>
      </c>
      <c r="E269" s="46">
        <v>492.8</v>
      </c>
      <c r="F269" s="19">
        <f t="shared" si="24"/>
        <v>78.28000000000003</v>
      </c>
      <c r="G269" s="51">
        <f t="shared" si="25"/>
        <v>0.13707361490509215</v>
      </c>
      <c r="I269" s="4"/>
    </row>
    <row r="270" spans="1:9" ht="12.75">
      <c r="A270" s="16"/>
      <c r="B270" s="52" t="s">
        <v>56</v>
      </c>
      <c r="C270" s="33">
        <v>2011</v>
      </c>
      <c r="D270" s="46">
        <v>572.35</v>
      </c>
      <c r="E270" s="46">
        <v>492.8</v>
      </c>
      <c r="F270" s="19">
        <f>+D270-E270</f>
        <v>79.55000000000001</v>
      </c>
      <c r="G270" s="51">
        <f>+F270/D270</f>
        <v>0.13898838123525817</v>
      </c>
      <c r="I270" s="4"/>
    </row>
    <row r="271" spans="1:9" ht="12.75">
      <c r="A271" s="16"/>
      <c r="B271" s="52" t="s">
        <v>41</v>
      </c>
      <c r="C271" s="33">
        <v>2011</v>
      </c>
      <c r="D271" s="46">
        <v>578.04</v>
      </c>
      <c r="E271" s="46">
        <v>492.8</v>
      </c>
      <c r="F271" s="19">
        <f>+D271-E271</f>
        <v>85.23999999999995</v>
      </c>
      <c r="G271" s="51">
        <f>+F271/D271</f>
        <v>0.14746384333264126</v>
      </c>
      <c r="I271" s="4"/>
    </row>
    <row r="272" spans="1:9" ht="12.75">
      <c r="A272" s="16"/>
      <c r="B272" s="52" t="s">
        <v>35</v>
      </c>
      <c r="C272" s="33">
        <v>2012</v>
      </c>
      <c r="D272" s="46">
        <v>581.21</v>
      </c>
      <c r="E272" s="46">
        <v>545.07</v>
      </c>
      <c r="F272" s="19">
        <f>+D272-E272</f>
        <v>36.139999999999986</v>
      </c>
      <c r="G272" s="51">
        <f>+F272/D272</f>
        <v>0.062180623182670605</v>
      </c>
      <c r="I272" s="4"/>
    </row>
    <row r="273" spans="1:9" ht="12.75">
      <c r="A273" s="16"/>
      <c r="B273" s="52" t="s">
        <v>36</v>
      </c>
      <c r="C273" s="33">
        <v>2012</v>
      </c>
      <c r="D273" s="46">
        <v>583.27</v>
      </c>
      <c r="E273" s="46">
        <v>545.07</v>
      </c>
      <c r="F273" s="19">
        <f>+D273-E273</f>
        <v>38.19999999999993</v>
      </c>
      <c r="G273" s="51">
        <f>+F273/D273</f>
        <v>0.06549282493527857</v>
      </c>
      <c r="I273" s="4"/>
    </row>
    <row r="274" spans="1:9" ht="12.75">
      <c r="A274" s="16"/>
      <c r="B274" s="52" t="s">
        <v>37</v>
      </c>
      <c r="C274" s="33">
        <v>2012</v>
      </c>
      <c r="D274" s="46">
        <v>587.36</v>
      </c>
      <c r="E274" s="46">
        <v>545.07</v>
      </c>
      <c r="F274" s="19">
        <f>+D274-E274</f>
        <v>42.289999999999964</v>
      </c>
      <c r="G274" s="51">
        <f>+F274/D274</f>
        <v>0.07200013620266951</v>
      </c>
      <c r="I274" s="4"/>
    </row>
    <row r="275" spans="1:9" ht="12.75">
      <c r="A275" s="16"/>
      <c r="B275" s="52" t="s">
        <v>38</v>
      </c>
      <c r="C275" s="33">
        <v>2012</v>
      </c>
      <c r="D275" s="46">
        <v>588.48</v>
      </c>
      <c r="E275" s="46">
        <v>545.07</v>
      </c>
      <c r="F275" s="19">
        <f t="shared" si="24"/>
        <v>43.40999999999997</v>
      </c>
      <c r="G275" s="51">
        <f t="shared" si="25"/>
        <v>0.07376631321370304</v>
      </c>
      <c r="I275" s="4"/>
    </row>
    <row r="276" spans="1:9" ht="12.75">
      <c r="A276" s="16"/>
      <c r="B276" s="52" t="s">
        <v>39</v>
      </c>
      <c r="C276" s="33">
        <v>2012</v>
      </c>
      <c r="D276" s="46">
        <v>584.71</v>
      </c>
      <c r="E276" s="46">
        <v>545.07</v>
      </c>
      <c r="F276" s="19">
        <f aca="true" t="shared" si="26" ref="F276:F292">+D276-E276</f>
        <v>39.639999999999986</v>
      </c>
      <c r="G276" s="51">
        <f>+F276/D276</f>
        <v>0.06779429118708417</v>
      </c>
      <c r="I276" s="4"/>
    </row>
    <row r="277" spans="1:9" ht="12.75">
      <c r="A277" s="16"/>
      <c r="B277" s="52" t="s">
        <v>40</v>
      </c>
      <c r="C277" s="33">
        <v>2012</v>
      </c>
      <c r="D277" s="46">
        <v>586.18</v>
      </c>
      <c r="E277" s="46">
        <v>545.07</v>
      </c>
      <c r="F277" s="19">
        <f t="shared" si="26"/>
        <v>41.1099999999999</v>
      </c>
      <c r="G277" s="51">
        <f>+F277/D277</f>
        <v>0.07013204135248542</v>
      </c>
      <c r="I277" s="4"/>
    </row>
    <row r="278" spans="1:9" ht="12.75">
      <c r="A278" s="16"/>
      <c r="B278" s="52" t="s">
        <v>47</v>
      </c>
      <c r="C278" s="33">
        <v>2012</v>
      </c>
      <c r="D278" s="46">
        <v>585.81</v>
      </c>
      <c r="E278" s="46">
        <v>545.07</v>
      </c>
      <c r="F278" s="19">
        <f t="shared" si="26"/>
        <v>40.739999999999895</v>
      </c>
      <c r="G278" s="51">
        <f>+F278/D278</f>
        <v>0.06954473293388624</v>
      </c>
      <c r="I278" s="4"/>
    </row>
    <row r="279" spans="1:9" ht="12.75">
      <c r="A279" s="16"/>
      <c r="B279" s="52" t="s">
        <v>48</v>
      </c>
      <c r="C279" s="33">
        <v>2012</v>
      </c>
      <c r="D279" s="46">
        <v>587.86</v>
      </c>
      <c r="E279" s="46">
        <v>545.07</v>
      </c>
      <c r="F279" s="19">
        <f t="shared" si="26"/>
        <v>42.789999999999964</v>
      </c>
      <c r="G279" s="51">
        <f>+F279/D279</f>
        <v>0.07278943966250462</v>
      </c>
      <c r="I279" s="4"/>
    </row>
    <row r="280" spans="1:9" ht="12.75">
      <c r="A280" s="16"/>
      <c r="B280" s="52" t="s">
        <v>49</v>
      </c>
      <c r="C280" s="33">
        <v>2012</v>
      </c>
      <c r="D280" s="46">
        <v>594.06</v>
      </c>
      <c r="E280" s="46">
        <v>545.07</v>
      </c>
      <c r="F280" s="19">
        <f t="shared" si="26"/>
        <v>48.989999999999895</v>
      </c>
      <c r="G280" s="51">
        <f>+F280/D280</f>
        <v>0.0824664175335823</v>
      </c>
      <c r="I280" s="4"/>
    </row>
    <row r="281" spans="1:9" ht="12.75">
      <c r="A281" s="16"/>
      <c r="B281" s="52" t="s">
        <v>50</v>
      </c>
      <c r="C281" s="33">
        <v>2012</v>
      </c>
      <c r="D281" s="46">
        <v>595.44</v>
      </c>
      <c r="E281" s="46">
        <v>545.07</v>
      </c>
      <c r="F281" s="19">
        <f t="shared" si="26"/>
        <v>50.370000000000005</v>
      </c>
      <c r="G281" s="51">
        <f aca="true" t="shared" si="27" ref="G281:G288">+F281/D281</f>
        <v>0.08459290608625554</v>
      </c>
      <c r="I281" s="4"/>
    </row>
    <row r="282" spans="1:9" ht="12.75">
      <c r="A282" s="16"/>
      <c r="B282" s="52" t="s">
        <v>56</v>
      </c>
      <c r="C282" s="33">
        <v>2012</v>
      </c>
      <c r="D282" s="46">
        <v>596.42</v>
      </c>
      <c r="E282" s="46">
        <v>545.07</v>
      </c>
      <c r="F282" s="19">
        <f t="shared" si="26"/>
        <v>51.34999999999991</v>
      </c>
      <c r="G282" s="51">
        <f t="shared" si="27"/>
        <v>0.08609704570604593</v>
      </c>
      <c r="I282" s="4"/>
    </row>
    <row r="283" spans="1:9" ht="12.75">
      <c r="A283" s="16"/>
      <c r="B283" s="52" t="s">
        <v>41</v>
      </c>
      <c r="C283" s="33">
        <v>2012</v>
      </c>
      <c r="D283" s="46">
        <v>595.7</v>
      </c>
      <c r="E283" s="46">
        <v>545.07</v>
      </c>
      <c r="F283" s="19">
        <f t="shared" si="26"/>
        <v>50.629999999999995</v>
      </c>
      <c r="G283" s="51">
        <f t="shared" si="27"/>
        <v>0.08499244586201106</v>
      </c>
      <c r="I283" s="4"/>
    </row>
    <row r="284" spans="1:9" ht="12.75">
      <c r="A284" s="16"/>
      <c r="B284" s="52" t="s">
        <v>35</v>
      </c>
      <c r="C284" s="33">
        <v>2013</v>
      </c>
      <c r="D284" s="46">
        <v>601.61</v>
      </c>
      <c r="E284" s="46">
        <v>593.6</v>
      </c>
      <c r="F284" s="19">
        <f t="shared" si="26"/>
        <v>8.009999999999991</v>
      </c>
      <c r="G284" s="51">
        <f t="shared" si="27"/>
        <v>0.013314273366466633</v>
      </c>
      <c r="I284" s="4"/>
    </row>
    <row r="285" spans="1:9" ht="12.75">
      <c r="A285" s="16"/>
      <c r="B285" s="52" t="s">
        <v>36</v>
      </c>
      <c r="C285" s="33">
        <v>2013</v>
      </c>
      <c r="D285" s="46">
        <v>602.07</v>
      </c>
      <c r="E285" s="46">
        <v>593.6</v>
      </c>
      <c r="F285" s="19">
        <f t="shared" si="26"/>
        <v>8.470000000000027</v>
      </c>
      <c r="G285" s="51">
        <f t="shared" si="27"/>
        <v>0.01406813161260323</v>
      </c>
      <c r="I285" s="4"/>
    </row>
    <row r="286" spans="1:9" ht="12.75">
      <c r="A286" s="16"/>
      <c r="B286" s="52" t="s">
        <v>37</v>
      </c>
      <c r="C286" s="33">
        <v>2013</v>
      </c>
      <c r="D286" s="46">
        <v>604.25</v>
      </c>
      <c r="E286" s="46">
        <v>593.6</v>
      </c>
      <c r="F286" s="19">
        <v>10.66</v>
      </c>
      <c r="G286" s="51">
        <f t="shared" si="27"/>
        <v>0.017641704592470005</v>
      </c>
      <c r="I286" s="4"/>
    </row>
    <row r="287" spans="1:9" ht="12.75">
      <c r="A287" s="16"/>
      <c r="B287" s="52" t="s">
        <v>38</v>
      </c>
      <c r="C287" s="33">
        <v>2013</v>
      </c>
      <c r="D287" s="46">
        <v>605.52</v>
      </c>
      <c r="E287" s="46">
        <v>593.6</v>
      </c>
      <c r="F287" s="19">
        <f>+D287-E287</f>
        <v>11.919999999999959</v>
      </c>
      <c r="G287" s="51">
        <f t="shared" si="27"/>
        <v>0.019685559519090963</v>
      </c>
      <c r="I287" s="4"/>
    </row>
    <row r="288" spans="1:9" ht="12.75">
      <c r="A288" s="16"/>
      <c r="B288" s="52" t="s">
        <v>39</v>
      </c>
      <c r="C288" s="33">
        <v>2013</v>
      </c>
      <c r="D288" s="46">
        <v>605.92</v>
      </c>
      <c r="E288" s="46">
        <v>593.6</v>
      </c>
      <c r="F288" s="19">
        <f>+D288-E288</f>
        <v>12.319999999999936</v>
      </c>
      <c r="G288" s="51">
        <f t="shared" si="27"/>
        <v>0.020332717190388067</v>
      </c>
      <c r="I288" s="4"/>
    </row>
    <row r="289" spans="1:9" ht="12.75">
      <c r="A289" s="16"/>
      <c r="B289" s="52" t="s">
        <v>40</v>
      </c>
      <c r="C289" s="33">
        <v>2013</v>
      </c>
      <c r="D289" s="46">
        <v>606.29</v>
      </c>
      <c r="E289" s="46">
        <v>593.6</v>
      </c>
      <c r="F289" s="19">
        <f>+D289-E289</f>
        <v>12.68999999999994</v>
      </c>
      <c r="G289" s="51">
        <f>+F289/D289</f>
        <v>0.02093057777631157</v>
      </c>
      <c r="I289" s="4"/>
    </row>
    <row r="290" spans="1:9" ht="12.75">
      <c r="A290" s="16"/>
      <c r="B290" s="52" t="s">
        <v>47</v>
      </c>
      <c r="C290" s="33">
        <v>2013</v>
      </c>
      <c r="D290" s="46">
        <v>606.48</v>
      </c>
      <c r="E290" s="46">
        <v>593.6</v>
      </c>
      <c r="F290" s="19">
        <f>+D290-E290</f>
        <v>12.879999999999995</v>
      </c>
      <c r="G290" s="51">
        <f>+F290/D290</f>
        <v>0.02123730378578023</v>
      </c>
      <c r="I290" s="4"/>
    </row>
    <row r="291" spans="1:9" ht="12.75">
      <c r="A291" s="16"/>
      <c r="B291" s="52" t="s">
        <v>48</v>
      </c>
      <c r="C291" s="33">
        <v>2013</v>
      </c>
      <c r="D291" s="46">
        <v>609.57</v>
      </c>
      <c r="E291" s="46">
        <v>593.6</v>
      </c>
      <c r="F291" s="19">
        <f>+D291-E291</f>
        <v>15.970000000000027</v>
      </c>
      <c r="G291" s="51">
        <f>+F291/D291</f>
        <v>0.02619879587250033</v>
      </c>
      <c r="I291" s="4"/>
    </row>
    <row r="292" spans="1:9" ht="12.75">
      <c r="A292" s="16"/>
      <c r="B292" s="52" t="s">
        <v>49</v>
      </c>
      <c r="C292" s="33">
        <v>2013</v>
      </c>
      <c r="D292" s="46">
        <v>612.05</v>
      </c>
      <c r="E292" s="46">
        <v>593.6</v>
      </c>
      <c r="F292" s="19">
        <f t="shared" si="26"/>
        <v>18.449999999999932</v>
      </c>
      <c r="G292" s="51">
        <f>+F292/D292</f>
        <v>0.030144596029736022</v>
      </c>
      <c r="I292" s="4"/>
    </row>
    <row r="293" spans="1:9" ht="13.5" thickBot="1">
      <c r="A293" s="53"/>
      <c r="B293" s="54"/>
      <c r="C293" s="54"/>
      <c r="D293" s="54"/>
      <c r="E293" s="54"/>
      <c r="F293" s="54"/>
      <c r="G293" s="55"/>
      <c r="I293" s="4"/>
    </row>
    <row r="294" ht="19.5" customHeight="1">
      <c r="A294" s="3"/>
    </row>
    <row r="295" ht="19.5" customHeight="1">
      <c r="A295" s="3"/>
    </row>
  </sheetData>
  <sheetProtection/>
  <mergeCells count="2">
    <mergeCell ref="A6:G6"/>
    <mergeCell ref="A7:G7"/>
  </mergeCells>
  <printOptions horizontalCentered="1"/>
  <pageMargins left="0.3937007874015748" right="0.7480314960629921" top="0.3937007874015748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INEC Corazón Vera</cp:lastModifiedBy>
  <cp:lastPrinted>2012-03-05T22:25:26Z</cp:lastPrinted>
  <dcterms:created xsi:type="dcterms:W3CDTF">1998-04-20T16:39:13Z</dcterms:created>
  <dcterms:modified xsi:type="dcterms:W3CDTF">2013-10-02T15:31:15Z</dcterms:modified>
  <cp:category/>
  <cp:version/>
  <cp:contentType/>
  <cp:contentStatus/>
</cp:coreProperties>
</file>