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D:\INEC\IPC\Resultados\Canastas\Diciembre 2025\"/>
    </mc:Choice>
  </mc:AlternateContent>
  <bookViews>
    <workbookView xWindow="0" yWindow="0" windowWidth="20490" windowHeight="7455"/>
  </bookViews>
  <sheets>
    <sheet name="SERIE VITAL" sheetId="3" r:id="rId1"/>
  </sheets>
  <definedNames>
    <definedName name="_xlnm.Print_Titles" localSheetId="0">'SERIE VITAL'!$1:$10</definedName>
  </definedNames>
  <calcPr calcId="152511"/>
</workbook>
</file>

<file path=xl/calcChain.xml><?xml version="1.0" encoding="utf-8"?>
<calcChain xmlns="http://schemas.openxmlformats.org/spreadsheetml/2006/main">
  <c r="F407" i="3" l="1"/>
  <c r="G407" i="3" s="1"/>
  <c r="F406" i="3" l="1"/>
  <c r="G406" i="3" s="1"/>
  <c r="F405" i="3" l="1"/>
  <c r="G405" i="3" s="1"/>
  <c r="F404" i="3" l="1"/>
  <c r="G404" i="3" s="1"/>
  <c r="F403" i="3" l="1"/>
  <c r="G403" i="3" s="1"/>
  <c r="F402" i="3" l="1"/>
  <c r="G402" i="3" s="1"/>
  <c r="F401" i="3" l="1"/>
  <c r="G401" i="3" s="1"/>
  <c r="F400" i="3" l="1"/>
  <c r="G400" i="3" s="1"/>
  <c r="F399" i="3" l="1"/>
  <c r="G399" i="3" s="1"/>
  <c r="F398" i="3" l="1"/>
  <c r="G398" i="3" s="1"/>
  <c r="F397" i="3" l="1"/>
  <c r="G397" i="3" s="1"/>
  <c r="F396" i="3" l="1"/>
  <c r="G396" i="3" s="1"/>
  <c r="F395" i="3" l="1"/>
  <c r="G395" i="3" s="1"/>
  <c r="F394" i="3" l="1"/>
  <c r="G394" i="3" s="1"/>
  <c r="F393" i="3" l="1"/>
  <c r="G393" i="3" s="1"/>
  <c r="F392" i="3" l="1"/>
  <c r="G392" i="3" s="1"/>
  <c r="F391" i="3" l="1"/>
  <c r="G391" i="3" s="1"/>
  <c r="F390" i="3" l="1"/>
  <c r="G390" i="3" s="1"/>
  <c r="F389" i="3" l="1"/>
  <c r="G389" i="3" s="1"/>
  <c r="F388" i="3" l="1"/>
  <c r="G388" i="3" s="1"/>
  <c r="F387" i="3"/>
  <c r="G387" i="3" s="1"/>
  <c r="F386" i="3" l="1"/>
  <c r="G386" i="3" s="1"/>
  <c r="F385" i="3"/>
  <c r="G385" i="3" s="1"/>
  <c r="F384" i="3"/>
  <c r="G384" i="3"/>
  <c r="F383" i="3"/>
  <c r="G383" i="3" s="1"/>
  <c r="F382" i="3"/>
  <c r="G382" i="3" s="1"/>
  <c r="F381" i="3"/>
  <c r="G381" i="3"/>
  <c r="F380" i="3"/>
  <c r="G380" i="3" s="1"/>
  <c r="F379" i="3"/>
  <c r="G379" i="3" s="1"/>
  <c r="F378" i="3"/>
  <c r="G378" i="3" s="1"/>
  <c r="F377" i="3"/>
  <c r="G377" i="3" s="1"/>
  <c r="F376" i="3"/>
  <c r="G376" i="3"/>
  <c r="F408" i="3"/>
  <c r="G408" i="3" s="1"/>
  <c r="F375" i="3"/>
  <c r="G375" i="3" s="1"/>
  <c r="F374" i="3"/>
  <c r="G374" i="3" s="1"/>
  <c r="F373" i="3"/>
  <c r="G373" i="3"/>
  <c r="F372" i="3"/>
  <c r="G372" i="3" s="1"/>
  <c r="F371" i="3"/>
  <c r="G371" i="3"/>
  <c r="F370" i="3"/>
  <c r="G370" i="3" s="1"/>
  <c r="F369" i="3"/>
  <c r="G369" i="3" s="1"/>
  <c r="F368" i="3"/>
  <c r="G368" i="3" s="1"/>
  <c r="F367" i="3"/>
  <c r="G367" i="3"/>
  <c r="F366" i="3"/>
  <c r="G366" i="3" s="1"/>
  <c r="F365" i="3"/>
  <c r="G365" i="3"/>
  <c r="F364" i="3"/>
  <c r="G364" i="3" s="1"/>
  <c r="F363" i="3"/>
  <c r="G363" i="3" s="1"/>
  <c r="F362" i="3"/>
  <c r="G362" i="3" s="1"/>
  <c r="F361" i="3"/>
  <c r="G361" i="3" s="1"/>
  <c r="F360" i="3"/>
  <c r="G360" i="3" s="1"/>
  <c r="F359" i="3"/>
  <c r="G359" i="3"/>
  <c r="F358" i="3"/>
  <c r="G358" i="3"/>
  <c r="F357" i="3"/>
  <c r="G357" i="3" s="1"/>
  <c r="F356" i="3"/>
  <c r="G356" i="3" s="1"/>
  <c r="F355" i="3"/>
  <c r="G355" i="3"/>
  <c r="F354" i="3"/>
  <c r="G354" i="3" s="1"/>
  <c r="F353" i="3"/>
  <c r="G353" i="3" s="1"/>
  <c r="F352" i="3"/>
  <c r="G352" i="3" s="1"/>
  <c r="F351" i="3"/>
  <c r="G351" i="3" s="1"/>
  <c r="F350" i="3"/>
  <c r="G350" i="3" s="1"/>
  <c r="F349" i="3"/>
  <c r="G349" i="3"/>
  <c r="F348" i="3"/>
  <c r="G348" i="3" s="1"/>
  <c r="F347" i="3"/>
  <c r="G347" i="3"/>
  <c r="F346" i="3"/>
  <c r="G346" i="3"/>
  <c r="F345" i="3"/>
  <c r="G345" i="3" s="1"/>
  <c r="F344" i="3"/>
  <c r="G344" i="3" s="1"/>
  <c r="F343" i="3"/>
  <c r="G343" i="3"/>
  <c r="F342" i="3"/>
  <c r="G342" i="3" s="1"/>
  <c r="F341" i="3"/>
  <c r="G341" i="3"/>
  <c r="F340" i="3"/>
  <c r="G340" i="3" s="1"/>
  <c r="F339" i="3"/>
  <c r="G339" i="3" s="1"/>
  <c r="F338" i="3"/>
  <c r="G338" i="3" s="1"/>
  <c r="F337" i="3"/>
  <c r="G337" i="3" s="1"/>
  <c r="F336" i="3"/>
  <c r="G336" i="3" s="1"/>
  <c r="F335" i="3"/>
  <c r="G335" i="3" s="1"/>
  <c r="F334" i="3"/>
  <c r="G334" i="3"/>
  <c r="F333" i="3"/>
  <c r="G333" i="3" s="1"/>
  <c r="F332" i="3"/>
  <c r="G332" i="3" s="1"/>
  <c r="F331" i="3"/>
  <c r="G331" i="3"/>
  <c r="F330" i="3"/>
  <c r="G330" i="3" s="1"/>
  <c r="F329" i="3"/>
  <c r="G329" i="3" s="1"/>
  <c r="F328" i="3"/>
  <c r="G328" i="3"/>
  <c r="F327" i="3"/>
  <c r="G327" i="3" s="1"/>
  <c r="F326" i="3"/>
  <c r="G326" i="3" s="1"/>
  <c r="F325" i="3"/>
  <c r="G325" i="3"/>
  <c r="F324" i="3"/>
  <c r="G324" i="3" s="1"/>
  <c r="F323" i="3"/>
  <c r="G323" i="3"/>
  <c r="F322" i="3"/>
  <c r="G322" i="3" s="1"/>
  <c r="F321" i="3"/>
  <c r="G321" i="3" s="1"/>
  <c r="F320" i="3"/>
  <c r="G320" i="3" s="1"/>
  <c r="F319" i="3"/>
  <c r="G319" i="3"/>
  <c r="F318" i="3"/>
  <c r="G318" i="3" s="1"/>
  <c r="F317" i="3"/>
  <c r="G317" i="3"/>
  <c r="F316" i="3"/>
  <c r="G316" i="3" s="1"/>
  <c r="F315" i="3"/>
  <c r="G315" i="3" s="1"/>
  <c r="F314" i="3"/>
  <c r="G314" i="3" s="1"/>
  <c r="F313" i="3"/>
  <c r="G313" i="3" s="1"/>
  <c r="F311" i="3"/>
  <c r="G311" i="3" s="1"/>
  <c r="F310" i="3"/>
  <c r="G310" i="3"/>
  <c r="F309" i="3"/>
  <c r="G309" i="3"/>
  <c r="F308" i="3"/>
  <c r="G308" i="3" s="1"/>
  <c r="F307" i="3"/>
  <c r="G307" i="3" s="1"/>
  <c r="F306" i="3"/>
  <c r="G306" i="3"/>
  <c r="F305" i="3"/>
  <c r="G305" i="3" s="1"/>
  <c r="F304" i="3"/>
  <c r="G304" i="3" s="1"/>
  <c r="F303" i="3"/>
  <c r="G303" i="3" s="1"/>
  <c r="F302" i="3"/>
  <c r="G302" i="3" s="1"/>
  <c r="F301" i="3"/>
  <c r="G301" i="3" s="1"/>
  <c r="F300" i="3"/>
  <c r="G300" i="3"/>
  <c r="F299" i="3"/>
  <c r="G299" i="3" s="1"/>
  <c r="F298" i="3"/>
  <c r="G298" i="3" s="1"/>
  <c r="F297" i="3"/>
  <c r="G297" i="3"/>
  <c r="F296" i="3"/>
  <c r="G296" i="3" s="1"/>
  <c r="F295" i="3"/>
  <c r="G295" i="3" s="1"/>
  <c r="F294" i="3"/>
  <c r="G294" i="3"/>
  <c r="F293" i="3"/>
  <c r="G293" i="3" s="1"/>
  <c r="F292" i="3"/>
  <c r="G292" i="3"/>
  <c r="F291" i="3"/>
  <c r="G291" i="3" s="1"/>
  <c r="F290" i="3"/>
  <c r="G290" i="3" s="1"/>
  <c r="F289" i="3"/>
  <c r="G289" i="3" s="1"/>
  <c r="F288" i="3"/>
  <c r="G288" i="3" s="1"/>
  <c r="F287" i="3"/>
  <c r="G287" i="3" s="1"/>
  <c r="F286" i="3"/>
  <c r="G286" i="3"/>
  <c r="F285" i="3"/>
  <c r="G285" i="3"/>
  <c r="F284" i="3"/>
  <c r="G284" i="3" s="1"/>
  <c r="F283" i="3"/>
  <c r="G283" i="3" s="1"/>
  <c r="F282" i="3"/>
  <c r="G282" i="3" s="1"/>
  <c r="F281" i="3"/>
  <c r="G281" i="3" s="1"/>
  <c r="F280" i="3"/>
  <c r="G280" i="3" s="1"/>
  <c r="F279" i="3"/>
  <c r="G279" i="3"/>
  <c r="F278" i="3"/>
  <c r="G278" i="3" s="1"/>
  <c r="F277" i="3"/>
  <c r="G277" i="3" s="1"/>
  <c r="F276" i="3"/>
  <c r="G276" i="3"/>
  <c r="F275" i="3"/>
  <c r="G275" i="3" s="1"/>
  <c r="F274" i="3"/>
  <c r="G274" i="3"/>
  <c r="F273" i="3"/>
  <c r="G273" i="3" s="1"/>
  <c r="F272" i="3"/>
  <c r="G272" i="3" s="1"/>
  <c r="F271" i="3"/>
  <c r="G271" i="3" s="1"/>
  <c r="F270" i="3"/>
  <c r="G270" i="3"/>
  <c r="F269" i="3"/>
  <c r="G269" i="3" s="1"/>
  <c r="F268" i="3"/>
  <c r="G268" i="3"/>
  <c r="F267" i="3"/>
  <c r="G267" i="3" s="1"/>
  <c r="F266" i="3"/>
  <c r="G266" i="3" s="1"/>
  <c r="F265" i="3"/>
  <c r="G265" i="3" s="1"/>
  <c r="F264" i="3"/>
  <c r="G264" i="3" s="1"/>
  <c r="F263" i="3"/>
  <c r="F262" i="3"/>
  <c r="G262" i="3"/>
  <c r="F261" i="3"/>
  <c r="G261" i="3"/>
  <c r="F260" i="3"/>
  <c r="G260" i="3" s="1"/>
  <c r="F259" i="3"/>
  <c r="G259" i="3" s="1"/>
  <c r="F258" i="3"/>
  <c r="G258" i="3" s="1"/>
  <c r="F257" i="3"/>
  <c r="F256" i="3"/>
  <c r="G256" i="3" s="1"/>
  <c r="F255" i="3"/>
  <c r="G255" i="3" s="1"/>
  <c r="F254" i="3"/>
  <c r="G254" i="3"/>
  <c r="F253" i="3"/>
  <c r="G253" i="3" s="1"/>
  <c r="F252" i="3"/>
  <c r="G252" i="3" s="1"/>
  <c r="F251" i="3"/>
  <c r="G251" i="3" s="1"/>
  <c r="F250" i="3"/>
  <c r="G250" i="3" s="1"/>
  <c r="F249" i="3"/>
  <c r="G249" i="3"/>
  <c r="F248" i="3"/>
  <c r="G248" i="3"/>
  <c r="F247" i="3"/>
  <c r="G247" i="3" s="1"/>
  <c r="F246" i="3"/>
  <c r="G246" i="3" s="1"/>
  <c r="F245" i="3"/>
  <c r="G245" i="3" s="1"/>
  <c r="F244" i="3"/>
  <c r="G244" i="3" s="1"/>
  <c r="F243" i="3"/>
  <c r="G243" i="3" s="1"/>
  <c r="F242" i="3"/>
  <c r="G242" i="3" s="1"/>
  <c r="F241" i="3"/>
  <c r="G241" i="3" s="1"/>
  <c r="F240" i="3"/>
  <c r="G240" i="3" s="1"/>
  <c r="F239" i="3"/>
  <c r="G239" i="3"/>
  <c r="F238" i="3"/>
  <c r="G238" i="3" s="1"/>
  <c r="F237" i="3"/>
  <c r="G237" i="3" s="1"/>
  <c r="F236" i="3"/>
  <c r="G236" i="3" s="1"/>
  <c r="F235" i="3"/>
  <c r="G235" i="3" s="1"/>
  <c r="F234" i="3"/>
  <c r="G234" i="3" s="1"/>
  <c r="F233" i="3"/>
  <c r="G233" i="3"/>
  <c r="F232" i="3"/>
  <c r="G232" i="3" s="1"/>
  <c r="F231" i="3"/>
  <c r="G231" i="3"/>
  <c r="F230" i="3"/>
  <c r="G230" i="3"/>
  <c r="F229" i="3"/>
  <c r="G229" i="3" s="1"/>
  <c r="F228" i="3"/>
  <c r="G228" i="3" s="1"/>
  <c r="F227" i="3"/>
  <c r="G227" i="3" s="1"/>
  <c r="F226" i="3"/>
  <c r="G226" i="3" s="1"/>
  <c r="F225" i="3"/>
  <c r="G225" i="3"/>
  <c r="F224" i="3"/>
  <c r="G224" i="3" s="1"/>
  <c r="F223" i="3"/>
  <c r="F222" i="3"/>
  <c r="G222" i="3"/>
  <c r="F221" i="3"/>
  <c r="G221" i="3"/>
  <c r="F220" i="3"/>
  <c r="G220" i="3" s="1"/>
  <c r="F219" i="3"/>
  <c r="G219" i="3" s="1"/>
  <c r="F218" i="3"/>
  <c r="G218" i="3" s="1"/>
  <c r="F217" i="3"/>
  <c r="G217" i="3" s="1"/>
  <c r="F216" i="3"/>
  <c r="G216" i="3"/>
  <c r="F215" i="3"/>
  <c r="G215" i="3"/>
  <c r="F214" i="3"/>
  <c r="G214" i="3"/>
  <c r="F213" i="3"/>
  <c r="G213" i="3" s="1"/>
  <c r="F212" i="3"/>
  <c r="G212" i="3"/>
  <c r="F211" i="3"/>
  <c r="G211" i="3" s="1"/>
  <c r="F210" i="3"/>
  <c r="G210" i="3"/>
  <c r="F209" i="3"/>
  <c r="G209" i="3" s="1"/>
  <c r="F208" i="3"/>
  <c r="G208" i="3"/>
  <c r="F207" i="3"/>
  <c r="G207" i="3" s="1"/>
  <c r="F206" i="3"/>
  <c r="G206" i="3" s="1"/>
  <c r="F205" i="3"/>
  <c r="G205" i="3" s="1"/>
  <c r="F204" i="3"/>
  <c r="G204" i="3" s="1"/>
  <c r="F203" i="3"/>
  <c r="G203" i="3" s="1"/>
  <c r="F202" i="3"/>
  <c r="G202" i="3"/>
  <c r="F201" i="3"/>
  <c r="G201" i="3" s="1"/>
  <c r="F200" i="3"/>
  <c r="G200" i="3"/>
  <c r="F199" i="3"/>
  <c r="G199" i="3" s="1"/>
  <c r="F198" i="3"/>
  <c r="G198" i="3" s="1"/>
  <c r="F197" i="3"/>
  <c r="G197" i="3"/>
  <c r="F196" i="3"/>
  <c r="G196" i="3" s="1"/>
  <c r="F195" i="3"/>
  <c r="G195" i="3"/>
  <c r="F194" i="3"/>
  <c r="G194" i="3" s="1"/>
  <c r="F193" i="3"/>
  <c r="G193" i="3" s="1"/>
  <c r="F192" i="3"/>
  <c r="G192" i="3"/>
  <c r="F191" i="3"/>
  <c r="G191" i="3" s="1"/>
  <c r="F190" i="3"/>
  <c r="G190" i="3" s="1"/>
  <c r="F189" i="3"/>
  <c r="G189" i="3" s="1"/>
  <c r="F188" i="3"/>
  <c r="G188" i="3"/>
  <c r="F187" i="3"/>
  <c r="G187" i="3" s="1"/>
  <c r="F186" i="3"/>
  <c r="G186" i="3" s="1"/>
  <c r="F185" i="3"/>
  <c r="G185" i="3"/>
  <c r="F184" i="3"/>
  <c r="G184" i="3"/>
  <c r="F183" i="3"/>
  <c r="G183" i="3" s="1"/>
  <c r="F182" i="3"/>
  <c r="G182" i="3" s="1"/>
  <c r="F181" i="3"/>
  <c r="G181" i="3" s="1"/>
  <c r="F180" i="3"/>
  <c r="G180" i="3"/>
  <c r="F179" i="3"/>
  <c r="G179" i="3"/>
  <c r="F178" i="3"/>
  <c r="G178" i="3" s="1"/>
  <c r="F177" i="3"/>
  <c r="G177" i="3"/>
  <c r="F176" i="3"/>
  <c r="G176" i="3" s="1"/>
  <c r="F175" i="3"/>
  <c r="G175" i="3" s="1"/>
  <c r="F174" i="3"/>
  <c r="G174" i="3" s="1"/>
  <c r="F173" i="3"/>
  <c r="G173" i="3" s="1"/>
  <c r="F172" i="3"/>
  <c r="G172" i="3"/>
  <c r="F171" i="3"/>
  <c r="G171" i="3"/>
  <c r="F170" i="3"/>
  <c r="G170" i="3"/>
  <c r="F169" i="3"/>
  <c r="G169" i="3" s="1"/>
  <c r="F168" i="3"/>
  <c r="G168" i="3" s="1"/>
  <c r="F167" i="3"/>
  <c r="G167" i="3" s="1"/>
  <c r="F166" i="3"/>
  <c r="G166" i="3"/>
  <c r="F165" i="3"/>
  <c r="G165" i="3" s="1"/>
  <c r="F164" i="3"/>
  <c r="G164" i="3"/>
  <c r="F163" i="3"/>
  <c r="G163" i="3" s="1"/>
  <c r="F162" i="3"/>
  <c r="G162" i="3"/>
  <c r="F161" i="3"/>
  <c r="G161" i="3" s="1"/>
  <c r="F160" i="3"/>
  <c r="G160" i="3" s="1"/>
  <c r="F159" i="3"/>
  <c r="G159" i="3" s="1"/>
  <c r="F158" i="3"/>
  <c r="G158" i="3"/>
  <c r="F157" i="3"/>
  <c r="G157" i="3" s="1"/>
  <c r="F156" i="3"/>
  <c r="G156" i="3"/>
  <c r="F155" i="3"/>
  <c r="G155" i="3"/>
  <c r="F154" i="3"/>
  <c r="G154" i="3" s="1"/>
  <c r="F153" i="3"/>
  <c r="G153" i="3" s="1"/>
  <c r="F152" i="3"/>
  <c r="G152" i="3" s="1"/>
  <c r="F151" i="3"/>
  <c r="G151" i="3" s="1"/>
  <c r="F150" i="3"/>
  <c r="G150" i="3"/>
  <c r="F149" i="3"/>
  <c r="G149" i="3" s="1"/>
  <c r="F148" i="3"/>
  <c r="G148" i="3"/>
  <c r="F147" i="3"/>
  <c r="G147" i="3"/>
  <c r="F146" i="3"/>
  <c r="G146" i="3" s="1"/>
  <c r="F145" i="3"/>
  <c r="G145" i="3" s="1"/>
  <c r="F144" i="3"/>
  <c r="G144" i="3"/>
  <c r="F143" i="3"/>
  <c r="G143" i="3"/>
  <c r="F142" i="3"/>
  <c r="G142" i="3"/>
  <c r="F141" i="3"/>
  <c r="G141" i="3" s="1"/>
  <c r="F140" i="3"/>
  <c r="G140" i="3" s="1"/>
  <c r="F139" i="3"/>
  <c r="G139" i="3" s="1"/>
  <c r="F138" i="3"/>
  <c r="G138" i="3" s="1"/>
  <c r="F137" i="3"/>
  <c r="G137" i="3"/>
  <c r="F136" i="3"/>
  <c r="G136" i="3" s="1"/>
  <c r="F135" i="3"/>
  <c r="G135" i="3"/>
  <c r="F134" i="3"/>
  <c r="G134" i="3"/>
  <c r="F133" i="3"/>
  <c r="G133" i="3" s="1"/>
  <c r="F132" i="3"/>
  <c r="G132" i="3"/>
  <c r="F131" i="3"/>
  <c r="G131" i="3" s="1"/>
  <c r="F130" i="3"/>
  <c r="G130" i="3" s="1"/>
  <c r="F129" i="3"/>
  <c r="G129" i="3"/>
  <c r="F128" i="3"/>
  <c r="G128" i="3" s="1"/>
  <c r="F127" i="3"/>
  <c r="G127" i="3" s="1"/>
  <c r="F126" i="3"/>
  <c r="G126" i="3"/>
  <c r="F125" i="3"/>
  <c r="G125" i="3" s="1"/>
  <c r="F124" i="3"/>
  <c r="G124" i="3" s="1"/>
  <c r="F123" i="3"/>
  <c r="G123" i="3" s="1"/>
  <c r="F122" i="3"/>
  <c r="G122" i="3" s="1"/>
  <c r="F121" i="3"/>
  <c r="G121" i="3" s="1"/>
  <c r="F120" i="3"/>
  <c r="G120" i="3" s="1"/>
  <c r="F119" i="3"/>
  <c r="G119" i="3" s="1"/>
  <c r="F118" i="3"/>
  <c r="G118" i="3" s="1"/>
  <c r="F117" i="3"/>
  <c r="G117" i="3"/>
  <c r="F116" i="3"/>
  <c r="G116" i="3" s="1"/>
  <c r="F115" i="3"/>
  <c r="G115" i="3" s="1"/>
  <c r="F114" i="3"/>
  <c r="G114" i="3" s="1"/>
  <c r="F113" i="3"/>
  <c r="G113" i="3" s="1"/>
  <c r="F112" i="3"/>
  <c r="G112" i="3" s="1"/>
  <c r="F111" i="3"/>
  <c r="G111" i="3" s="1"/>
  <c r="F110" i="3"/>
  <c r="F109" i="3"/>
  <c r="F108" i="3"/>
  <c r="F107" i="3"/>
  <c r="F106" i="3"/>
  <c r="F105" i="3"/>
  <c r="F104" i="3"/>
  <c r="F103" i="3"/>
  <c r="F102" i="3"/>
  <c r="F101" i="3"/>
  <c r="E100" i="3"/>
  <c r="D100" i="3"/>
  <c r="F100" i="3"/>
  <c r="E99" i="3"/>
  <c r="D99" i="3"/>
  <c r="E98" i="3"/>
  <c r="D98" i="3"/>
  <c r="F98" i="3" s="1"/>
  <c r="E97" i="3"/>
  <c r="D97" i="3"/>
  <c r="E96" i="3"/>
  <c r="F96" i="3" s="1"/>
  <c r="G96" i="3" s="1"/>
  <c r="D96" i="3"/>
  <c r="E95" i="3"/>
  <c r="D95" i="3"/>
  <c r="F95" i="3" s="1"/>
  <c r="G95" i="3" s="1"/>
  <c r="E94" i="3"/>
  <c r="D94" i="3"/>
  <c r="F94" i="3" s="1"/>
  <c r="G94" i="3" s="1"/>
  <c r="E93" i="3"/>
  <c r="F93" i="3" s="1"/>
  <c r="D93" i="3"/>
  <c r="E92" i="3"/>
  <c r="D92" i="3"/>
  <c r="E91" i="3"/>
  <c r="D91" i="3"/>
  <c r="F91" i="3" s="1"/>
  <c r="E90" i="3"/>
  <c r="D90" i="3"/>
  <c r="F90" i="3" s="1"/>
  <c r="E89" i="3"/>
  <c r="D89" i="3"/>
  <c r="F89" i="3"/>
  <c r="E88" i="3"/>
  <c r="D88" i="3"/>
  <c r="E87" i="3"/>
  <c r="D87" i="3"/>
  <c r="F87" i="3"/>
  <c r="E86" i="3"/>
  <c r="D86" i="3"/>
  <c r="E85" i="3"/>
  <c r="D85" i="3"/>
  <c r="F85" i="3" s="1"/>
  <c r="E84" i="3"/>
  <c r="D84" i="3"/>
  <c r="E83" i="3"/>
  <c r="D83" i="3"/>
  <c r="E82" i="3"/>
  <c r="D82" i="3"/>
  <c r="E81" i="3"/>
  <c r="D81" i="3"/>
  <c r="F81" i="3" s="1"/>
  <c r="G81" i="3" s="1"/>
  <c r="E80" i="3"/>
  <c r="D80" i="3"/>
  <c r="E79" i="3"/>
  <c r="D79" i="3"/>
  <c r="F79" i="3" s="1"/>
  <c r="G79" i="3" s="1"/>
  <c r="E78" i="3"/>
  <c r="D78" i="3"/>
  <c r="F78" i="3" s="1"/>
  <c r="G78" i="3" s="1"/>
  <c r="E77" i="3"/>
  <c r="D77" i="3"/>
  <c r="E76" i="3"/>
  <c r="D76" i="3"/>
  <c r="E75" i="3"/>
  <c r="D75" i="3"/>
  <c r="F75" i="3" s="1"/>
  <c r="G75" i="3" s="1"/>
  <c r="E74" i="3"/>
  <c r="D74" i="3"/>
  <c r="E73" i="3"/>
  <c r="D73" i="3"/>
  <c r="E72" i="3"/>
  <c r="D72" i="3"/>
  <c r="F72" i="3" s="1"/>
  <c r="G72" i="3" s="1"/>
  <c r="E71" i="3"/>
  <c r="D71" i="3"/>
  <c r="E70" i="3"/>
  <c r="D70" i="3"/>
  <c r="E69" i="3"/>
  <c r="D69" i="3"/>
  <c r="F69" i="3" s="1"/>
  <c r="G69" i="3" s="1"/>
  <c r="E68" i="3"/>
  <c r="D68" i="3"/>
  <c r="E67" i="3"/>
  <c r="D67" i="3"/>
  <c r="F67" i="3" s="1"/>
  <c r="G67" i="3" s="1"/>
  <c r="E66" i="3"/>
  <c r="D66" i="3"/>
  <c r="E65" i="3"/>
  <c r="D65" i="3"/>
  <c r="E64" i="3"/>
  <c r="D64" i="3"/>
  <c r="F64" i="3"/>
  <c r="G64" i="3" s="1"/>
  <c r="E63" i="3"/>
  <c r="D63" i="3"/>
  <c r="E62" i="3"/>
  <c r="D62" i="3"/>
  <c r="F62" i="3"/>
  <c r="G62" i="3" s="1"/>
  <c r="E61" i="3"/>
  <c r="D61" i="3"/>
  <c r="F61" i="3"/>
  <c r="G61" i="3" s="1"/>
  <c r="E60" i="3"/>
  <c r="D60" i="3"/>
  <c r="E59" i="3"/>
  <c r="D59" i="3"/>
  <c r="F59" i="3" s="1"/>
  <c r="G59" i="3" s="1"/>
  <c r="E58" i="3"/>
  <c r="D58" i="3"/>
  <c r="E57" i="3"/>
  <c r="F57" i="3" s="1"/>
  <c r="G57" i="3" s="1"/>
  <c r="D57" i="3"/>
  <c r="E56" i="3"/>
  <c r="D56" i="3"/>
  <c r="E55" i="3"/>
  <c r="D55" i="3"/>
  <c r="E54" i="3"/>
  <c r="D54" i="3"/>
  <c r="E53" i="3"/>
  <c r="D53" i="3"/>
  <c r="E52" i="3"/>
  <c r="D52" i="3"/>
  <c r="E51" i="3"/>
  <c r="D51" i="3"/>
  <c r="F51" i="3" s="1"/>
  <c r="G51" i="3" s="1"/>
  <c r="E50" i="3"/>
  <c r="D50" i="3"/>
  <c r="F50" i="3"/>
  <c r="G50" i="3" s="1"/>
  <c r="E49" i="3"/>
  <c r="D49" i="3"/>
  <c r="E48" i="3"/>
  <c r="D48" i="3"/>
  <c r="F48" i="3"/>
  <c r="G48" i="3" s="1"/>
  <c r="E47" i="3"/>
  <c r="D47" i="3"/>
  <c r="E46" i="3"/>
  <c r="D46" i="3"/>
  <c r="F46" i="3" s="1"/>
  <c r="G46" i="3" s="1"/>
  <c r="E45" i="3"/>
  <c r="D45" i="3"/>
  <c r="F45" i="3" s="1"/>
  <c r="G45" i="3" s="1"/>
  <c r="E44" i="3"/>
  <c r="D44" i="3"/>
  <c r="E43" i="3"/>
  <c r="D43" i="3"/>
  <c r="F43" i="3" s="1"/>
  <c r="G43" i="3" s="1"/>
  <c r="E42" i="3"/>
  <c r="D42" i="3"/>
  <c r="E41" i="3"/>
  <c r="D41" i="3"/>
  <c r="E40" i="3"/>
  <c r="D40" i="3"/>
  <c r="E39" i="3"/>
  <c r="D39" i="3"/>
  <c r="F39" i="3" s="1"/>
  <c r="G39" i="3" s="1"/>
  <c r="E38" i="3"/>
  <c r="D38" i="3"/>
  <c r="F38" i="3" s="1"/>
  <c r="G38" i="3" s="1"/>
  <c r="E37" i="3"/>
  <c r="D37" i="3"/>
  <c r="F37" i="3" s="1"/>
  <c r="G37" i="3" s="1"/>
  <c r="E36" i="3"/>
  <c r="D36" i="3"/>
  <c r="F36" i="3" s="1"/>
  <c r="G36" i="3" s="1"/>
  <c r="E35" i="3"/>
  <c r="D35" i="3"/>
  <c r="E34" i="3"/>
  <c r="D34" i="3"/>
  <c r="F34" i="3"/>
  <c r="G34" i="3" s="1"/>
  <c r="E33" i="3"/>
  <c r="D33" i="3"/>
  <c r="F33" i="3" s="1"/>
  <c r="G33" i="3" s="1"/>
  <c r="E32" i="3"/>
  <c r="D32" i="3"/>
  <c r="F32" i="3" s="1"/>
  <c r="G32" i="3" s="1"/>
  <c r="E31" i="3"/>
  <c r="D31" i="3"/>
  <c r="E30" i="3"/>
  <c r="D30" i="3"/>
  <c r="F30" i="3" s="1"/>
  <c r="G30" i="3" s="1"/>
  <c r="E29" i="3"/>
  <c r="D29" i="3"/>
  <c r="E28" i="3"/>
  <c r="D28" i="3"/>
  <c r="F28" i="3" s="1"/>
  <c r="G28" i="3" s="1"/>
  <c r="E27" i="3"/>
  <c r="D27" i="3"/>
  <c r="F27" i="3"/>
  <c r="G27" i="3"/>
  <c r="E26" i="3"/>
  <c r="D26" i="3"/>
  <c r="E25" i="3"/>
  <c r="D25" i="3"/>
  <c r="F25" i="3" s="1"/>
  <c r="G25" i="3" s="1"/>
  <c r="E24" i="3"/>
  <c r="D24" i="3"/>
  <c r="F24" i="3"/>
  <c r="G24" i="3"/>
  <c r="E23" i="3"/>
  <c r="D23" i="3"/>
  <c r="F23" i="3"/>
  <c r="G23" i="3" s="1"/>
  <c r="E22" i="3"/>
  <c r="D22" i="3"/>
  <c r="F22" i="3" s="1"/>
  <c r="G22" i="3" s="1"/>
  <c r="E21" i="3"/>
  <c r="D21" i="3"/>
  <c r="F21" i="3" s="1"/>
  <c r="G21" i="3" s="1"/>
  <c r="E20" i="3"/>
  <c r="D20" i="3"/>
  <c r="F20" i="3" s="1"/>
  <c r="G20" i="3" s="1"/>
  <c r="E19" i="3"/>
  <c r="D19" i="3"/>
  <c r="F19" i="3" s="1"/>
  <c r="G19" i="3" s="1"/>
  <c r="E18" i="3"/>
  <c r="D18" i="3"/>
  <c r="E17" i="3"/>
  <c r="D17" i="3"/>
  <c r="F17" i="3"/>
  <c r="G17" i="3" s="1"/>
  <c r="E16" i="3"/>
  <c r="F16" i="3" s="1"/>
  <c r="G16" i="3" s="1"/>
  <c r="D16" i="3"/>
  <c r="E15" i="3"/>
  <c r="D15" i="3"/>
  <c r="E14" i="3"/>
  <c r="F14" i="3" s="1"/>
  <c r="G14" i="3" s="1"/>
  <c r="D14" i="3"/>
  <c r="E13" i="3"/>
  <c r="D13" i="3"/>
  <c r="F13" i="3"/>
  <c r="G13" i="3"/>
  <c r="E12" i="3"/>
  <c r="D12" i="3"/>
  <c r="F26" i="3" l="1"/>
  <c r="G26" i="3" s="1"/>
  <c r="F35" i="3"/>
  <c r="G35" i="3" s="1"/>
  <c r="F47" i="3"/>
  <c r="G47" i="3" s="1"/>
  <c r="F52" i="3"/>
  <c r="G52" i="3" s="1"/>
  <c r="F58" i="3"/>
  <c r="G58" i="3" s="1"/>
  <c r="F63" i="3"/>
  <c r="G63" i="3" s="1"/>
  <c r="F42" i="3"/>
  <c r="G42" i="3" s="1"/>
  <c r="F18" i="3"/>
  <c r="G18" i="3" s="1"/>
  <c r="F60" i="3"/>
  <c r="G60" i="3" s="1"/>
  <c r="F70" i="3"/>
  <c r="G70" i="3" s="1"/>
  <c r="F82" i="3"/>
  <c r="G82" i="3" s="1"/>
  <c r="F49" i="3"/>
  <c r="G49" i="3" s="1"/>
  <c r="F65" i="3"/>
  <c r="G65" i="3" s="1"/>
  <c r="F71" i="3"/>
  <c r="G71" i="3" s="1"/>
  <c r="F77" i="3"/>
  <c r="G77" i="3" s="1"/>
  <c r="F83" i="3"/>
  <c r="G83" i="3" s="1"/>
  <c r="F99" i="3"/>
  <c r="G99" i="3" s="1"/>
  <c r="F44" i="3"/>
  <c r="G44" i="3" s="1"/>
  <c r="F29" i="3"/>
  <c r="G29" i="3" s="1"/>
  <c r="F56" i="3"/>
  <c r="G56" i="3" s="1"/>
  <c r="F31" i="3"/>
  <c r="G31" i="3" s="1"/>
  <c r="F12" i="3"/>
  <c r="G12" i="3" s="1"/>
  <c r="F86" i="3"/>
  <c r="F15" i="3"/>
  <c r="G15" i="3" s="1"/>
  <c r="F88" i="3"/>
  <c r="F97" i="3"/>
  <c r="F73" i="3"/>
  <c r="G73" i="3" s="1"/>
  <c r="F40" i="3"/>
  <c r="G40" i="3" s="1"/>
  <c r="F53" i="3"/>
  <c r="G53" i="3" s="1"/>
  <c r="F68" i="3"/>
  <c r="G68" i="3" s="1"/>
  <c r="F74" i="3"/>
  <c r="G74" i="3" s="1"/>
  <c r="F80" i="3"/>
  <c r="G80" i="3" s="1"/>
  <c r="F84" i="3"/>
  <c r="F41" i="3"/>
  <c r="G41" i="3" s="1"/>
  <c r="F54" i="3"/>
  <c r="G54" i="3" s="1"/>
  <c r="F55" i="3"/>
  <c r="G55" i="3" s="1"/>
  <c r="F76" i="3"/>
  <c r="G76" i="3" s="1"/>
  <c r="F66" i="3"/>
  <c r="G66" i="3" s="1"/>
  <c r="F92" i="3"/>
</calcChain>
</file>

<file path=xl/sharedStrings.xml><?xml version="1.0" encoding="utf-8"?>
<sst xmlns="http://schemas.openxmlformats.org/spreadsheetml/2006/main" count="423" uniqueCount="52">
  <si>
    <t>GOBIERNOS</t>
  </si>
  <si>
    <t>MESES</t>
  </si>
  <si>
    <t>AÑOS</t>
  </si>
  <si>
    <t>Noviembre</t>
  </si>
  <si>
    <t>Julio</t>
  </si>
  <si>
    <t>Enero</t>
  </si>
  <si>
    <t>Marzo</t>
  </si>
  <si>
    <t>Agosto</t>
  </si>
  <si>
    <t>Junio</t>
  </si>
  <si>
    <t>Septiembre</t>
  </si>
  <si>
    <t>Mayo</t>
  </si>
  <si>
    <t>Octubre</t>
  </si>
  <si>
    <t>Diciembre</t>
  </si>
  <si>
    <t xml:space="preserve">Enero   </t>
  </si>
  <si>
    <t xml:space="preserve">Febrero   </t>
  </si>
  <si>
    <t xml:space="preserve">Marzo   </t>
  </si>
  <si>
    <t>Abril</t>
  </si>
  <si>
    <t>Febrero</t>
  </si>
  <si>
    <t>Sixto Durán Ballén</t>
  </si>
  <si>
    <t>Abdalá Bucarám O.</t>
  </si>
  <si>
    <t>Fabián Alarcón R.</t>
  </si>
  <si>
    <t>Jamil Mahuad W.</t>
  </si>
  <si>
    <t>Gustavo Noboa B.</t>
  </si>
  <si>
    <t>Julio*</t>
  </si>
  <si>
    <t xml:space="preserve">Septiembre </t>
  </si>
  <si>
    <t xml:space="preserve">Octubre  </t>
  </si>
  <si>
    <t xml:space="preserve">Noviembre  </t>
  </si>
  <si>
    <t>Lúcio Gutierrez B.</t>
  </si>
  <si>
    <t>Alfredo Palacio</t>
  </si>
  <si>
    <t>Rafael Correa</t>
  </si>
  <si>
    <t>Enero**</t>
  </si>
  <si>
    <t>Lenín Moreno</t>
  </si>
  <si>
    <t>CANASTA FAMILIAR VITAL</t>
  </si>
  <si>
    <t>BASE: Agosto de 1992 = 100</t>
  </si>
  <si>
    <t xml:space="preserve">Mayo   </t>
  </si>
  <si>
    <t xml:space="preserve">Junio   </t>
  </si>
  <si>
    <t xml:space="preserve">Agosto </t>
  </si>
  <si>
    <t xml:space="preserve">Diciembre   </t>
  </si>
  <si>
    <t>Enero***</t>
  </si>
  <si>
    <t xml:space="preserve">Julio   </t>
  </si>
  <si>
    <t>COSTO CANASTA VITAL (dólares)</t>
  </si>
  <si>
    <t>INGRESO FAMILIAR MENSUAL**** (dólares)</t>
  </si>
  <si>
    <t>Notas:</t>
  </si>
  <si>
    <t>Realizadores:</t>
  </si>
  <si>
    <t>RESTRICCIÓN / EXCEDENTE EN EL CONSUMO (costo-ingreso) (dólares)</t>
  </si>
  <si>
    <t>RESTRICCIÓN / EXCENDENTE (porcentual)</t>
  </si>
  <si>
    <t>Guillermo Lasso</t>
  </si>
  <si>
    <t>Daniel Noboa</t>
  </si>
  <si>
    <r>
      <rPr>
        <b/>
        <sz val="9"/>
        <rFont val="Century Gothic"/>
        <family val="2"/>
      </rPr>
      <t xml:space="preserve">Fuente: </t>
    </r>
    <r>
      <rPr>
        <sz val="9"/>
        <rFont val="Century Gothic"/>
        <family val="2"/>
      </rPr>
      <t>Canasta Familiar Vital</t>
    </r>
  </si>
  <si>
    <r>
      <rPr>
        <b/>
        <sz val="8"/>
        <rFont val="Century Gothic"/>
        <family val="2"/>
      </rPr>
      <t>Elaboración:</t>
    </r>
    <r>
      <rPr>
        <sz val="8"/>
        <rFont val="Century Gothic"/>
        <family val="2"/>
      </rPr>
      <t xml:space="preserve"> Michael Soria</t>
    </r>
  </si>
  <si>
    <r>
      <rPr>
        <b/>
        <sz val="8"/>
        <rFont val="Century Gothic"/>
        <family val="2"/>
      </rPr>
      <t xml:space="preserve">Revisión: </t>
    </r>
    <r>
      <rPr>
        <sz val="8"/>
        <rFont val="Century Gothic"/>
        <family val="2"/>
      </rPr>
      <t xml:space="preserve"> Franklin Tenesaca / Yadira Orejuela</t>
    </r>
  </si>
  <si>
    <r>
      <rPr>
        <b/>
        <sz val="8"/>
        <rFont val="Century Gothic"/>
        <family val="2"/>
      </rPr>
      <t xml:space="preserve">Aprobación: </t>
    </r>
    <r>
      <rPr>
        <sz val="8"/>
        <rFont val="Century Gothic"/>
        <family val="2"/>
      </rPr>
      <t xml:space="preserve"> Diana Barco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</si>
</sst>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%"/>
  </numFmts>
  <fonts count="15" x14ac:knownFonts="1">
    <font>
      <sz val="10"/>
      <name val="Arial"/>
    </font>
    <font>
      <sz val="10"/>
      <name val="Arial"/>
      <family val="2"/>
    </font>
    <font>
      <sz val="10"/>
      <name val="Century Gothic"/>
      <family val="2"/>
    </font>
    <font>
      <b/>
      <sz val="10"/>
      <name val="Century Gothic"/>
      <family val="2"/>
    </font>
    <font>
      <sz val="10"/>
      <color indexed="8"/>
      <name val="Century Gothic"/>
      <family val="2"/>
    </font>
    <font>
      <b/>
      <sz val="9"/>
      <name val="Century Gothic"/>
      <family val="2"/>
    </font>
    <font>
      <sz val="9"/>
      <name val="Century Gothic"/>
      <family val="2"/>
    </font>
    <font>
      <b/>
      <sz val="8"/>
      <name val="Century Gothic"/>
      <family val="2"/>
    </font>
    <font>
      <sz val="8"/>
      <name val="Century Gothic"/>
      <family val="2"/>
    </font>
    <font>
      <sz val="8"/>
      <color rgb="FF000000"/>
      <name val="Century Gothic"/>
      <family val="2"/>
    </font>
    <font>
      <b/>
      <sz val="36"/>
      <color rgb="FF64DBFF"/>
      <name val="Century Gothic"/>
      <family val="2"/>
    </font>
    <font>
      <sz val="20"/>
      <color rgb="FF6C6F7C"/>
      <name val="Century Gothic"/>
      <family val="2"/>
    </font>
    <font>
      <b/>
      <sz val="16"/>
      <color theme="1"/>
      <name val="Century Gothic"/>
      <family val="2"/>
    </font>
    <font>
      <b/>
      <sz val="10"/>
      <color theme="1"/>
      <name val="Century Gothic"/>
      <family val="2"/>
    </font>
    <font>
      <b/>
      <sz val="10"/>
      <color theme="0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B3D3D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466E8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theme="3"/>
      </right>
      <top/>
      <bottom/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theme="3"/>
      </right>
      <top/>
      <bottom style="medium">
        <color indexed="64"/>
      </bottom>
      <diagonal/>
    </border>
    <border>
      <left style="thin">
        <color theme="3"/>
      </left>
      <right style="thin">
        <color theme="3"/>
      </right>
      <top/>
      <bottom style="medium">
        <color indexed="64"/>
      </bottom>
      <diagonal/>
    </border>
    <border>
      <left style="thin">
        <color theme="3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theme="3"/>
      </right>
      <top style="medium">
        <color indexed="64"/>
      </top>
      <bottom/>
      <diagonal/>
    </border>
    <border>
      <left style="thin">
        <color theme="3"/>
      </left>
      <right style="thin">
        <color theme="3"/>
      </right>
      <top style="medium">
        <color indexed="64"/>
      </top>
      <bottom/>
      <diagonal/>
    </border>
    <border>
      <left style="thin">
        <color theme="3"/>
      </left>
      <right style="medium">
        <color indexed="64"/>
      </right>
      <top style="medium">
        <color indexed="64"/>
      </top>
      <bottom/>
      <diagonal/>
    </border>
    <border>
      <left style="medium">
        <color theme="3"/>
      </left>
      <right style="thin">
        <color theme="3"/>
      </right>
      <top style="medium">
        <color theme="3"/>
      </top>
      <bottom/>
      <diagonal/>
    </border>
    <border>
      <left style="thin">
        <color theme="3"/>
      </left>
      <right style="thin">
        <color theme="3"/>
      </right>
      <top style="medium">
        <color theme="3"/>
      </top>
      <bottom/>
      <diagonal/>
    </border>
    <border>
      <left style="thin">
        <color theme="3"/>
      </left>
      <right style="medium">
        <color theme="3"/>
      </right>
      <top style="medium">
        <color theme="3"/>
      </top>
      <bottom/>
      <diagonal/>
    </border>
    <border>
      <left style="medium">
        <color theme="3"/>
      </left>
      <right style="thin">
        <color theme="3"/>
      </right>
      <top/>
      <bottom/>
      <diagonal/>
    </border>
    <border>
      <left style="thin">
        <color theme="3"/>
      </left>
      <right style="medium">
        <color theme="3"/>
      </right>
      <top/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</cellStyleXfs>
  <cellXfs count="63">
    <xf numFmtId="0" fontId="0" fillId="0" borderId="0" xfId="0"/>
    <xf numFmtId="10" fontId="2" fillId="0" borderId="0" xfId="3" applyNumberFormat="1" applyFont="1"/>
    <xf numFmtId="0" fontId="2" fillId="0" borderId="0" xfId="1" applyFont="1"/>
    <xf numFmtId="0" fontId="3" fillId="0" borderId="0" xfId="1" applyFont="1" applyFill="1" applyBorder="1" applyAlignment="1">
      <alignment horizontal="center"/>
    </xf>
    <xf numFmtId="1" fontId="3" fillId="0" borderId="0" xfId="1" applyNumberFormat="1" applyFont="1" applyFill="1" applyBorder="1" applyAlignment="1">
      <alignment horizontal="center"/>
    </xf>
    <xf numFmtId="0" fontId="2" fillId="0" borderId="0" xfId="1" applyFont="1" applyFill="1"/>
    <xf numFmtId="0" fontId="3" fillId="0" borderId="1" xfId="1" applyFont="1" applyFill="1" applyBorder="1"/>
    <xf numFmtId="2" fontId="2" fillId="0" borderId="0" xfId="1" applyNumberFormat="1" applyFont="1"/>
    <xf numFmtId="0" fontId="2" fillId="0" borderId="1" xfId="1" applyFont="1" applyFill="1" applyBorder="1"/>
    <xf numFmtId="164" fontId="2" fillId="0" borderId="0" xfId="1" applyNumberFormat="1" applyFont="1"/>
    <xf numFmtId="0" fontId="2" fillId="0" borderId="0" xfId="1" applyFont="1" applyFill="1" applyBorder="1"/>
    <xf numFmtId="0" fontId="2" fillId="0" borderId="0" xfId="1" applyFont="1" applyBorder="1"/>
    <xf numFmtId="0" fontId="9" fillId="0" borderId="0" xfId="1" applyFont="1" applyAlignment="1">
      <alignment horizontal="left" vertical="center" readingOrder="1"/>
    </xf>
    <xf numFmtId="0" fontId="5" fillId="0" borderId="0" xfId="1" applyFont="1" applyBorder="1"/>
    <xf numFmtId="0" fontId="10" fillId="0" borderId="0" xfId="0" applyFont="1"/>
    <xf numFmtId="0" fontId="11" fillId="0" borderId="0" xfId="0" applyFont="1"/>
    <xf numFmtId="0" fontId="3" fillId="0" borderId="1" xfId="1" applyFont="1" applyFill="1" applyBorder="1" applyAlignment="1">
      <alignment vertical="center"/>
    </xf>
    <xf numFmtId="0" fontId="2" fillId="0" borderId="2" xfId="1" applyFont="1" applyFill="1" applyBorder="1" applyAlignment="1">
      <alignment vertical="center"/>
    </xf>
    <xf numFmtId="0" fontId="2" fillId="0" borderId="2" xfId="1" applyFont="1" applyFill="1" applyBorder="1" applyAlignment="1">
      <alignment horizontal="center" vertical="center"/>
    </xf>
    <xf numFmtId="2" fontId="2" fillId="0" borderId="2" xfId="1" applyNumberFormat="1" applyFont="1" applyFill="1" applyBorder="1" applyAlignment="1">
      <alignment horizontal="right" vertical="center"/>
    </xf>
    <xf numFmtId="10" fontId="4" fillId="0" borderId="3" xfId="3" applyNumberFormat="1" applyFont="1" applyFill="1" applyBorder="1" applyAlignment="1">
      <alignment horizontal="center" vertical="center"/>
    </xf>
    <xf numFmtId="0" fontId="3" fillId="2" borderId="4" xfId="1" applyFont="1" applyFill="1" applyBorder="1" applyAlignment="1">
      <alignment vertical="center"/>
    </xf>
    <xf numFmtId="0" fontId="2" fillId="2" borderId="5" xfId="1" applyFont="1" applyFill="1" applyBorder="1" applyAlignment="1">
      <alignment vertical="center"/>
    </xf>
    <xf numFmtId="0" fontId="2" fillId="2" borderId="5" xfId="1" applyFont="1" applyFill="1" applyBorder="1" applyAlignment="1">
      <alignment horizontal="center" vertical="center"/>
    </xf>
    <xf numFmtId="2" fontId="2" fillId="2" borderId="5" xfId="1" applyNumberFormat="1" applyFont="1" applyFill="1" applyBorder="1" applyAlignment="1">
      <alignment horizontal="right" vertical="center"/>
    </xf>
    <xf numFmtId="10" fontId="4" fillId="2" borderId="6" xfId="3" applyNumberFormat="1" applyFont="1" applyFill="1" applyBorder="1" applyAlignment="1">
      <alignment horizontal="center" vertical="center"/>
    </xf>
    <xf numFmtId="0" fontId="3" fillId="2" borderId="1" xfId="1" applyFont="1" applyFill="1" applyBorder="1"/>
    <xf numFmtId="0" fontId="2" fillId="2" borderId="1" xfId="1" applyFont="1" applyFill="1" applyBorder="1"/>
    <xf numFmtId="0" fontId="2" fillId="2" borderId="2" xfId="1" applyFont="1" applyFill="1" applyBorder="1" applyAlignment="1">
      <alignment vertical="center"/>
    </xf>
    <xf numFmtId="0" fontId="2" fillId="2" borderId="2" xfId="1" applyFont="1" applyFill="1" applyBorder="1" applyAlignment="1">
      <alignment horizontal="center" vertical="center"/>
    </xf>
    <xf numFmtId="2" fontId="2" fillId="2" borderId="2" xfId="1" applyNumberFormat="1" applyFont="1" applyFill="1" applyBorder="1" applyAlignment="1">
      <alignment horizontal="right" vertical="center"/>
    </xf>
    <xf numFmtId="10" fontId="4" fillId="2" borderId="3" xfId="3" applyNumberFormat="1" applyFont="1" applyFill="1" applyBorder="1" applyAlignment="1">
      <alignment horizontal="center" vertical="center"/>
    </xf>
    <xf numFmtId="0" fontId="3" fillId="2" borderId="7" xfId="1" applyFont="1" applyFill="1" applyBorder="1" applyAlignment="1">
      <alignment horizontal="center"/>
    </xf>
    <xf numFmtId="0" fontId="3" fillId="2" borderId="8" xfId="1" applyFont="1" applyFill="1" applyBorder="1" applyAlignment="1">
      <alignment horizontal="center"/>
    </xf>
    <xf numFmtId="1" fontId="3" fillId="2" borderId="8" xfId="1" applyNumberFormat="1" applyFont="1" applyFill="1" applyBorder="1" applyAlignment="1">
      <alignment horizontal="center"/>
    </xf>
    <xf numFmtId="0" fontId="3" fillId="2" borderId="9" xfId="1" applyFont="1" applyFill="1" applyBorder="1" applyAlignment="1">
      <alignment horizontal="center"/>
    </xf>
    <xf numFmtId="0" fontId="6" fillId="0" borderId="0" xfId="1" applyFont="1"/>
    <xf numFmtId="0" fontId="7" fillId="0" borderId="0" xfId="2" applyFont="1"/>
    <xf numFmtId="49" fontId="8" fillId="0" borderId="0" xfId="2" applyNumberFormat="1" applyFont="1" applyFill="1" applyBorder="1" applyAlignment="1">
      <alignment horizontal="left" vertical="top"/>
    </xf>
    <xf numFmtId="4" fontId="2" fillId="2" borderId="2" xfId="1" applyNumberFormat="1" applyFont="1" applyFill="1" applyBorder="1" applyAlignment="1">
      <alignment vertical="center"/>
    </xf>
    <xf numFmtId="165" fontId="2" fillId="2" borderId="3" xfId="3" applyNumberFormat="1" applyFont="1" applyFill="1" applyBorder="1" applyAlignment="1">
      <alignment horizontal="center" vertical="center"/>
    </xf>
    <xf numFmtId="4" fontId="2" fillId="0" borderId="2" xfId="1" applyNumberFormat="1" applyFont="1" applyFill="1" applyBorder="1" applyAlignment="1">
      <alignment vertical="center"/>
    </xf>
    <xf numFmtId="165" fontId="2" fillId="0" borderId="3" xfId="3" applyNumberFormat="1" applyFont="1" applyFill="1" applyBorder="1" applyAlignment="1">
      <alignment horizontal="center" vertical="center"/>
    </xf>
    <xf numFmtId="165" fontId="4" fillId="0" borderId="3" xfId="3" applyNumberFormat="1" applyFont="1" applyFill="1" applyBorder="1" applyAlignment="1">
      <alignment horizontal="center" vertical="center"/>
    </xf>
    <xf numFmtId="165" fontId="4" fillId="2" borderId="3" xfId="3" applyNumberFormat="1" applyFont="1" applyFill="1" applyBorder="1" applyAlignment="1">
      <alignment horizontal="center" vertical="center"/>
    </xf>
    <xf numFmtId="2" fontId="2" fillId="2" borderId="2" xfId="1" applyNumberFormat="1" applyFont="1" applyFill="1" applyBorder="1" applyAlignment="1">
      <alignment vertical="center"/>
    </xf>
    <xf numFmtId="2" fontId="2" fillId="0" borderId="2" xfId="1" applyNumberFormat="1" applyFont="1" applyFill="1" applyBorder="1" applyAlignment="1">
      <alignment vertical="center"/>
    </xf>
    <xf numFmtId="0" fontId="0" fillId="0" borderId="0" xfId="0" applyAlignment="1">
      <alignment horizontal="center"/>
    </xf>
    <xf numFmtId="0" fontId="12" fillId="3" borderId="10" xfId="1" applyFont="1" applyFill="1" applyBorder="1" applyAlignment="1">
      <alignment horizontal="center"/>
    </xf>
    <xf numFmtId="0" fontId="12" fillId="3" borderId="11" xfId="1" applyFont="1" applyFill="1" applyBorder="1" applyAlignment="1">
      <alignment horizontal="center"/>
    </xf>
    <xf numFmtId="0" fontId="12" fillId="3" borderId="12" xfId="1" applyFont="1" applyFill="1" applyBorder="1" applyAlignment="1">
      <alignment horizontal="center"/>
    </xf>
    <xf numFmtId="0" fontId="13" fillId="3" borderId="13" xfId="1" applyFont="1" applyFill="1" applyBorder="1" applyAlignment="1">
      <alignment horizontal="center"/>
    </xf>
    <xf numFmtId="0" fontId="13" fillId="3" borderId="2" xfId="1" applyFont="1" applyFill="1" applyBorder="1" applyAlignment="1">
      <alignment horizontal="center"/>
    </xf>
    <xf numFmtId="0" fontId="13" fillId="3" borderId="14" xfId="1" applyFont="1" applyFill="1" applyBorder="1" applyAlignment="1">
      <alignment horizontal="center"/>
    </xf>
    <xf numFmtId="49" fontId="14" fillId="4" borderId="7" xfId="0" applyNumberFormat="1" applyFont="1" applyFill="1" applyBorder="1" applyAlignment="1">
      <alignment horizontal="center" vertical="center" wrapText="1"/>
    </xf>
    <xf numFmtId="49" fontId="14" fillId="4" borderId="1" xfId="0" applyNumberFormat="1" applyFont="1" applyFill="1" applyBorder="1" applyAlignment="1">
      <alignment horizontal="center" vertical="center" wrapText="1"/>
    </xf>
    <xf numFmtId="49" fontId="14" fillId="4" borderId="4" xfId="0" applyNumberFormat="1" applyFont="1" applyFill="1" applyBorder="1" applyAlignment="1">
      <alignment horizontal="center" vertical="center" wrapText="1"/>
    </xf>
    <xf numFmtId="49" fontId="14" fillId="4" borderId="8" xfId="0" applyNumberFormat="1" applyFont="1" applyFill="1" applyBorder="1" applyAlignment="1">
      <alignment horizontal="center" vertical="center" wrapText="1"/>
    </xf>
    <xf numFmtId="49" fontId="14" fillId="4" borderId="2" xfId="0" applyNumberFormat="1" applyFont="1" applyFill="1" applyBorder="1" applyAlignment="1">
      <alignment horizontal="center" vertical="center" wrapText="1"/>
    </xf>
    <xf numFmtId="49" fontId="14" fillId="4" borderId="5" xfId="0" applyNumberFormat="1" applyFont="1" applyFill="1" applyBorder="1" applyAlignment="1">
      <alignment horizontal="center" vertical="center" wrapText="1"/>
    </xf>
    <xf numFmtId="49" fontId="14" fillId="4" borderId="9" xfId="0" applyNumberFormat="1" applyFont="1" applyFill="1" applyBorder="1" applyAlignment="1">
      <alignment horizontal="center" vertical="center" wrapText="1"/>
    </xf>
    <xf numFmtId="49" fontId="14" fillId="4" borderId="3" xfId="0" applyNumberFormat="1" applyFont="1" applyFill="1" applyBorder="1" applyAlignment="1">
      <alignment horizontal="center" vertical="center" wrapText="1"/>
    </xf>
    <xf numFmtId="49" fontId="14" fillId="4" borderId="6" xfId="0" applyNumberFormat="1" applyFont="1" applyFill="1" applyBorder="1" applyAlignment="1">
      <alignment horizontal="center" vertical="center" wrapText="1"/>
    </xf>
  </cellXfs>
  <cellStyles count="4">
    <cellStyle name="Normal" xfId="0" builtinId="0"/>
    <cellStyle name="Normal 2" xfId="1"/>
    <cellStyle name="Normal 3" xfId="2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410</xdr:row>
      <xdr:rowOff>0</xdr:rowOff>
    </xdr:from>
    <xdr:to>
      <xdr:col>6</xdr:col>
      <xdr:colOff>552450</xdr:colOff>
      <xdr:row>412</xdr:row>
      <xdr:rowOff>28575</xdr:rowOff>
    </xdr:to>
    <xdr:sp macro="" textlink="">
      <xdr:nvSpPr>
        <xdr:cNvPr id="4639" name="Text Box 1"/>
        <xdr:cNvSpPr txBox="1">
          <a:spLocks noChangeArrowheads="1"/>
        </xdr:cNvSpPr>
      </xdr:nvSpPr>
      <xdr:spPr bwMode="auto">
        <a:xfrm>
          <a:off x="0" y="68684775"/>
          <a:ext cx="62198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15240</xdr:colOff>
      <xdr:row>410</xdr:row>
      <xdr:rowOff>1270</xdr:rowOff>
    </xdr:from>
    <xdr:to>
      <xdr:col>6</xdr:col>
      <xdr:colOff>1035695</xdr:colOff>
      <xdr:row>416</xdr:row>
      <xdr:rowOff>165131</xdr:rowOff>
    </xdr:to>
    <xdr:sp macro="" textlink="">
      <xdr:nvSpPr>
        <xdr:cNvPr id="4" name="Text Box 3"/>
        <xdr:cNvSpPr txBox="1">
          <a:spLocks noChangeArrowheads="1"/>
        </xdr:cNvSpPr>
      </xdr:nvSpPr>
      <xdr:spPr bwMode="auto">
        <a:xfrm>
          <a:off x="15240" y="64155320"/>
          <a:ext cx="7005318" cy="109728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   Desde el mes de julio de</a:t>
          </a:r>
          <a:r>
            <a:rPr lang="es-EC" sz="900" b="0" i="0" strike="noStrike" baseline="0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 2000</a:t>
          </a: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 se calcula el ingreso familiar con un hogar tipo de cuatro miembros con 1,60 perceptores de la Remuneración Básica unificada mínima.</a:t>
          </a:r>
        </a:p>
        <a:p>
          <a:pPr algn="l" rtl="0">
            <a:defRPr sz="1000"/>
          </a:pPr>
          <a:endParaRPr lang="es-EC" sz="900" b="0" i="0" strike="noStrike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  <a:p>
          <a:pPr algn="l" rtl="0">
            <a:lnSpc>
              <a:spcPts val="800"/>
            </a:lnSpc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**   Canasta Familiar Vital, definida en enero de 2007.</a:t>
          </a:r>
        </a:p>
        <a:p>
          <a:pPr algn="l" rtl="0">
            <a:defRPr sz="1000"/>
          </a:pPr>
          <a:endParaRPr lang="es-EC" sz="900" b="0" i="0" strike="noStrike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  <a:p>
          <a:pPr algn="l" rtl="0">
            <a:lnSpc>
              <a:spcPts val="800"/>
            </a:lnSpc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*** Desde el mes de enero de 2015 se empieza a publicar la serie oficial del Índice de Precios al Consumidor año base 2014.</a:t>
          </a:r>
        </a:p>
        <a:p>
          <a:pPr algn="l" rtl="0">
            <a:lnSpc>
              <a:spcPts val="900"/>
            </a:lnSpc>
            <a:defRPr sz="1000"/>
          </a:pPr>
          <a:endParaRPr lang="es-EC" sz="900" b="0" i="0" strike="noStrike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  <a:p>
          <a:pPr algn="l" rtl="0">
            <a:lnSpc>
              <a:spcPts val="800"/>
            </a:lnSpc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**** El cálculo del Ingreso Familiar Mensual del hogar tipo no incluye los fondos de reserva mensualizados. </a:t>
          </a:r>
        </a:p>
        <a:p>
          <a:pPr algn="l" rtl="0">
            <a:lnSpc>
              <a:spcPts val="800"/>
            </a:lnSpc>
            <a:defRPr sz="1000"/>
          </a:pPr>
          <a:endParaRPr lang="es-EC" sz="900" b="0" i="0" strike="noStrike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541425</xdr:colOff>
      <xdr:row>0</xdr:row>
      <xdr:rowOff>1152000</xdr:rowOff>
    </xdr:to>
    <xdr:grpSp>
      <xdr:nvGrpSpPr>
        <xdr:cNvPr id="8" name="Grupo 7"/>
        <xdr:cNvGrpSpPr/>
      </xdr:nvGrpSpPr>
      <xdr:grpSpPr>
        <a:xfrm>
          <a:off x="0" y="0"/>
          <a:ext cx="8647200" cy="1152000"/>
          <a:chOff x="0" y="0"/>
          <a:chExt cx="8647200" cy="1152000"/>
        </a:xfrm>
      </xdr:grpSpPr>
      <xdr:pic>
        <xdr:nvPicPr>
          <xdr:cNvPr id="9" name="Imagen 8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8647200" cy="1152000"/>
          </a:xfrm>
          <a:prstGeom prst="rect">
            <a:avLst/>
          </a:prstGeom>
        </xdr:spPr>
      </xdr:pic>
      <xdr:grpSp>
        <xdr:nvGrpSpPr>
          <xdr:cNvPr id="10" name="Grupo 18"/>
          <xdr:cNvGrpSpPr>
            <a:grpSpLocks/>
          </xdr:cNvGrpSpPr>
        </xdr:nvGrpSpPr>
        <xdr:grpSpPr bwMode="auto">
          <a:xfrm>
            <a:off x="1933575" y="142875"/>
            <a:ext cx="4095750" cy="828675"/>
            <a:chOff x="4962542" y="210577"/>
            <a:chExt cx="10155030" cy="1141485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62542" y="210577"/>
              <a:ext cx="10155030" cy="721632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09775" y="827241"/>
              <a:ext cx="9517389" cy="52482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Serie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histórica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23"/>
  <sheetViews>
    <sheetView showGridLines="0" tabSelected="1" zoomScaleNormal="100" workbookViewId="0">
      <pane ySplit="9" topLeftCell="A405" activePane="bottomLeft" state="frozen"/>
      <selection pane="bottomLeft" activeCell="A500" sqref="A500"/>
    </sheetView>
  </sheetViews>
  <sheetFormatPr baseColWidth="10" defaultColWidth="11.5703125" defaultRowHeight="13.5" x14ac:dyDescent="0.25"/>
  <cols>
    <col min="1" max="1" width="20.140625" style="2" customWidth="1"/>
    <col min="2" max="2" width="12.42578125" style="2" customWidth="1"/>
    <col min="3" max="4" width="11.5703125" style="2"/>
    <col min="5" max="5" width="13" style="2" customWidth="1"/>
    <col min="6" max="6" width="16.28515625" style="2" customWidth="1"/>
    <col min="7" max="7" width="15.7109375" style="2" customWidth="1"/>
    <col min="8" max="8" width="9.28515625" style="2" customWidth="1"/>
    <col min="9" max="16384" width="11.5703125" style="2"/>
  </cols>
  <sheetData>
    <row r="1" spans="1:26" customFormat="1" ht="90.75" customHeight="1" x14ac:dyDescent="0.2">
      <c r="A1" s="47"/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</row>
    <row r="2" spans="1:26" ht="15.6" customHeight="1" thickBot="1" x14ac:dyDescent="0.3"/>
    <row r="3" spans="1:26" ht="20.25" x14ac:dyDescent="0.3">
      <c r="A3" s="48" t="s">
        <v>32</v>
      </c>
      <c r="B3" s="49"/>
      <c r="C3" s="49"/>
      <c r="D3" s="49"/>
      <c r="E3" s="49"/>
      <c r="F3" s="49"/>
      <c r="G3" s="50"/>
    </row>
    <row r="4" spans="1:26" ht="14.25" thickBot="1" x14ac:dyDescent="0.3">
      <c r="A4" s="51" t="s">
        <v>33</v>
      </c>
      <c r="B4" s="52"/>
      <c r="C4" s="52"/>
      <c r="D4" s="52"/>
      <c r="E4" s="52"/>
      <c r="F4" s="52"/>
      <c r="G4" s="53"/>
    </row>
    <row r="5" spans="1:26" ht="13.15" customHeight="1" x14ac:dyDescent="0.25">
      <c r="A5" s="54" t="s">
        <v>0</v>
      </c>
      <c r="B5" s="57" t="s">
        <v>1</v>
      </c>
      <c r="C5" s="57" t="s">
        <v>2</v>
      </c>
      <c r="D5" s="57" t="s">
        <v>40</v>
      </c>
      <c r="E5" s="57" t="s">
        <v>41</v>
      </c>
      <c r="F5" s="57" t="s">
        <v>44</v>
      </c>
      <c r="G5" s="60" t="s">
        <v>45</v>
      </c>
    </row>
    <row r="6" spans="1:26" x14ac:dyDescent="0.25">
      <c r="A6" s="55"/>
      <c r="B6" s="58"/>
      <c r="C6" s="58"/>
      <c r="D6" s="58"/>
      <c r="E6" s="58"/>
      <c r="F6" s="58"/>
      <c r="G6" s="61"/>
    </row>
    <row r="7" spans="1:26" x14ac:dyDescent="0.25">
      <c r="A7" s="55"/>
      <c r="B7" s="58"/>
      <c r="C7" s="58"/>
      <c r="D7" s="58"/>
      <c r="E7" s="58"/>
      <c r="F7" s="58"/>
      <c r="G7" s="61"/>
    </row>
    <row r="8" spans="1:26" x14ac:dyDescent="0.25">
      <c r="A8" s="55"/>
      <c r="B8" s="58"/>
      <c r="C8" s="58"/>
      <c r="D8" s="58"/>
      <c r="E8" s="58"/>
      <c r="F8" s="58"/>
      <c r="G8" s="61"/>
    </row>
    <row r="9" spans="1:26" ht="11.45" customHeight="1" thickBot="1" x14ac:dyDescent="0.3">
      <c r="A9" s="56"/>
      <c r="B9" s="59"/>
      <c r="C9" s="59"/>
      <c r="D9" s="59"/>
      <c r="E9" s="59"/>
      <c r="F9" s="59"/>
      <c r="G9" s="62"/>
    </row>
    <row r="10" spans="1:26" ht="14.25" thickBot="1" x14ac:dyDescent="0.3">
      <c r="A10" s="3"/>
      <c r="B10" s="3"/>
      <c r="C10" s="3"/>
      <c r="D10" s="4"/>
      <c r="E10" s="4"/>
      <c r="F10" s="3"/>
      <c r="G10" s="3"/>
      <c r="H10" s="5"/>
    </row>
    <row r="11" spans="1:26" ht="6.75" customHeight="1" x14ac:dyDescent="0.25">
      <c r="A11" s="32"/>
      <c r="B11" s="33"/>
      <c r="C11" s="33"/>
      <c r="D11" s="34"/>
      <c r="E11" s="34"/>
      <c r="F11" s="33"/>
      <c r="G11" s="35"/>
      <c r="H11" s="5"/>
    </row>
    <row r="12" spans="1:26" ht="12" customHeight="1" x14ac:dyDescent="0.25">
      <c r="A12" s="26" t="s">
        <v>18</v>
      </c>
      <c r="B12" s="28" t="s">
        <v>12</v>
      </c>
      <c r="C12" s="29">
        <v>1992</v>
      </c>
      <c r="D12" s="39">
        <f>207968.61/1587.72</f>
        <v>130.9856964704104</v>
      </c>
      <c r="E12" s="39">
        <f>200234.57/1587.72</f>
        <v>126.11453530849268</v>
      </c>
      <c r="F12" s="39">
        <f t="shared" ref="F12:F75" si="0">+D12-E12</f>
        <v>4.8711611619177262</v>
      </c>
      <c r="G12" s="40">
        <f t="shared" ref="G12:G75" si="1">+F12/D12</f>
        <v>3.7188496860175252E-2</v>
      </c>
    </row>
    <row r="13" spans="1:26" ht="12" customHeight="1" x14ac:dyDescent="0.25">
      <c r="A13" s="26"/>
      <c r="B13" s="28" t="s">
        <v>5</v>
      </c>
      <c r="C13" s="29">
        <v>1993</v>
      </c>
      <c r="D13" s="39">
        <f>215069.54/2082.16</f>
        <v>103.2915530026511</v>
      </c>
      <c r="E13" s="39">
        <f t="shared" ref="E13:E18" si="2">246598.34/2082.16</f>
        <v>118.43390517539478</v>
      </c>
      <c r="F13" s="39">
        <f t="shared" si="0"/>
        <v>-15.142352172743685</v>
      </c>
      <c r="G13" s="40">
        <f t="shared" si="1"/>
        <v>-0.14659816541198717</v>
      </c>
    </row>
    <row r="14" spans="1:26" ht="12" customHeight="1" x14ac:dyDescent="0.25">
      <c r="A14" s="26"/>
      <c r="B14" s="28" t="s">
        <v>17</v>
      </c>
      <c r="C14" s="29">
        <v>1993</v>
      </c>
      <c r="D14" s="39">
        <f>220242.63/2068.7</f>
        <v>106.46426741431819</v>
      </c>
      <c r="E14" s="39">
        <f t="shared" si="2"/>
        <v>118.43390517539478</v>
      </c>
      <c r="F14" s="39">
        <f t="shared" si="0"/>
        <v>-11.969637761076598</v>
      </c>
      <c r="G14" s="40">
        <f t="shared" si="1"/>
        <v>-0.11242868665498207</v>
      </c>
    </row>
    <row r="15" spans="1:26" ht="12" customHeight="1" x14ac:dyDescent="0.25">
      <c r="A15" s="26"/>
      <c r="B15" s="28" t="s">
        <v>6</v>
      </c>
      <c r="C15" s="29">
        <v>1993</v>
      </c>
      <c r="D15" s="39">
        <f>225131.64/2121.45</f>
        <v>106.12158665063991</v>
      </c>
      <c r="E15" s="39">
        <f t="shared" si="2"/>
        <v>118.43390517539478</v>
      </c>
      <c r="F15" s="39">
        <f t="shared" si="0"/>
        <v>-12.312318524754872</v>
      </c>
      <c r="G15" s="40">
        <f t="shared" si="1"/>
        <v>-0.11602086732163111</v>
      </c>
    </row>
    <row r="16" spans="1:26" ht="12" customHeight="1" x14ac:dyDescent="0.25">
      <c r="A16" s="26"/>
      <c r="B16" s="28" t="s">
        <v>16</v>
      </c>
      <c r="C16" s="29">
        <v>1993</v>
      </c>
      <c r="D16" s="39">
        <f>231761.67/2161.27</f>
        <v>107.2340198124251</v>
      </c>
      <c r="E16" s="39">
        <f t="shared" si="2"/>
        <v>118.43390517539478</v>
      </c>
      <c r="F16" s="39">
        <f t="shared" si="0"/>
        <v>-11.199885362969681</v>
      </c>
      <c r="G16" s="40">
        <f t="shared" si="1"/>
        <v>-0.10444339755760942</v>
      </c>
    </row>
    <row r="17" spans="1:7" ht="12" customHeight="1" x14ac:dyDescent="0.25">
      <c r="A17" s="26"/>
      <c r="B17" s="28" t="s">
        <v>10</v>
      </c>
      <c r="C17" s="29">
        <v>1993</v>
      </c>
      <c r="D17" s="39">
        <f>237208.88/2170.38</f>
        <v>109.2937089357624</v>
      </c>
      <c r="E17" s="39">
        <f t="shared" si="2"/>
        <v>118.43390517539478</v>
      </c>
      <c r="F17" s="39">
        <f t="shared" si="0"/>
        <v>-9.1401962396323881</v>
      </c>
      <c r="G17" s="40">
        <f t="shared" si="1"/>
        <v>-8.3629664768761366E-2</v>
      </c>
    </row>
    <row r="18" spans="1:7" ht="12" customHeight="1" x14ac:dyDescent="0.25">
      <c r="A18" s="26"/>
      <c r="B18" s="28" t="s">
        <v>8</v>
      </c>
      <c r="C18" s="29">
        <v>1993</v>
      </c>
      <c r="D18" s="39">
        <f>245370.04/2180.99</f>
        <v>112.50397296640519</v>
      </c>
      <c r="E18" s="39">
        <f t="shared" si="2"/>
        <v>118.43390517539478</v>
      </c>
      <c r="F18" s="39">
        <f t="shared" si="0"/>
        <v>-5.9299322089895981</v>
      </c>
      <c r="G18" s="40">
        <f t="shared" si="1"/>
        <v>-5.2708647104936779E-2</v>
      </c>
    </row>
    <row r="19" spans="1:7" ht="12" customHeight="1" x14ac:dyDescent="0.25">
      <c r="A19" s="26"/>
      <c r="B19" s="28" t="s">
        <v>4</v>
      </c>
      <c r="C19" s="29">
        <v>1993</v>
      </c>
      <c r="D19" s="39">
        <f>250509.35/2199.46</f>
        <v>113.89584261591482</v>
      </c>
      <c r="E19" s="39">
        <f>281213.34/2199.46</f>
        <v>127.85562819964902</v>
      </c>
      <c r="F19" s="39">
        <f t="shared" si="0"/>
        <v>-13.959785583734202</v>
      </c>
      <c r="G19" s="40">
        <f t="shared" si="1"/>
        <v>-0.12256624353542105</v>
      </c>
    </row>
    <row r="20" spans="1:7" ht="12" customHeight="1" x14ac:dyDescent="0.25">
      <c r="A20" s="26"/>
      <c r="B20" s="28" t="s">
        <v>7</v>
      </c>
      <c r="C20" s="29">
        <v>1993</v>
      </c>
      <c r="D20" s="39">
        <f>254060.91/2243.71</f>
        <v>113.23250776615517</v>
      </c>
      <c r="E20" s="39">
        <f>281213.34/2199.46</f>
        <v>127.85562819964902</v>
      </c>
      <c r="F20" s="39">
        <f t="shared" si="0"/>
        <v>-14.623120433493852</v>
      </c>
      <c r="G20" s="40">
        <f t="shared" si="1"/>
        <v>-0.12914242316078647</v>
      </c>
    </row>
    <row r="21" spans="1:7" ht="12" customHeight="1" x14ac:dyDescent="0.25">
      <c r="A21" s="26"/>
      <c r="B21" s="28" t="s">
        <v>9</v>
      </c>
      <c r="C21" s="29">
        <v>1993</v>
      </c>
      <c r="D21" s="39">
        <f>260889.13/2262.92</f>
        <v>115.28871104590529</v>
      </c>
      <c r="E21" s="39">
        <f>282823.34/2262.92</f>
        <v>124.98159015784915</v>
      </c>
      <c r="F21" s="39">
        <f t="shared" si="0"/>
        <v>-9.6928791119438671</v>
      </c>
      <c r="G21" s="40">
        <f t="shared" si="1"/>
        <v>-8.4074832860993542E-2</v>
      </c>
    </row>
    <row r="22" spans="1:7" ht="12" customHeight="1" x14ac:dyDescent="0.25">
      <c r="A22" s="26"/>
      <c r="B22" s="28" t="s">
        <v>11</v>
      </c>
      <c r="C22" s="29">
        <v>1993</v>
      </c>
      <c r="D22" s="39">
        <f>271181.06/2279.27</f>
        <v>118.97715496628307</v>
      </c>
      <c r="E22" s="39">
        <f>287653.34/2279.27</f>
        <v>126.20415308410151</v>
      </c>
      <c r="F22" s="39">
        <f t="shared" si="0"/>
        <v>-7.2269981178184395</v>
      </c>
      <c r="G22" s="40">
        <f t="shared" si="1"/>
        <v>-6.0742737711844755E-2</v>
      </c>
    </row>
    <row r="23" spans="1:7" ht="12" customHeight="1" x14ac:dyDescent="0.25">
      <c r="A23" s="26"/>
      <c r="B23" s="28" t="s">
        <v>3</v>
      </c>
      <c r="C23" s="29">
        <v>1993</v>
      </c>
      <c r="D23" s="39">
        <f>275275.76/1977.85</f>
        <v>139.17929064388099</v>
      </c>
      <c r="E23" s="39">
        <f>287653.34/2279.27</f>
        <v>126.20415308410151</v>
      </c>
      <c r="F23" s="39">
        <f t="shared" si="0"/>
        <v>12.975137559779483</v>
      </c>
      <c r="G23" s="40">
        <f t="shared" si="1"/>
        <v>9.322606473817327E-2</v>
      </c>
    </row>
    <row r="24" spans="1:7" ht="12" customHeight="1" x14ac:dyDescent="0.25">
      <c r="A24" s="26"/>
      <c r="B24" s="28" t="s">
        <v>12</v>
      </c>
      <c r="C24" s="29">
        <v>1993</v>
      </c>
      <c r="D24" s="39">
        <f>276856.59/2014.7</f>
        <v>137.41827071027944</v>
      </c>
      <c r="E24" s="39">
        <f>287653.34/2279.27</f>
        <v>126.20415308410151</v>
      </c>
      <c r="F24" s="39">
        <f t="shared" si="0"/>
        <v>11.214117626177938</v>
      </c>
      <c r="G24" s="40">
        <f t="shared" si="1"/>
        <v>8.1605725120939665E-2</v>
      </c>
    </row>
    <row r="25" spans="1:7" ht="12" customHeight="1" x14ac:dyDescent="0.25">
      <c r="A25" s="26"/>
      <c r="B25" s="28" t="s">
        <v>13</v>
      </c>
      <c r="C25" s="29">
        <v>1994</v>
      </c>
      <c r="D25" s="39">
        <f>287251.46/2082.16</f>
        <v>137.9583989703001</v>
      </c>
      <c r="E25" s="39">
        <f t="shared" ref="E25:E30" si="3">339173.34/2082.16</f>
        <v>162.89494563338076</v>
      </c>
      <c r="F25" s="39">
        <f t="shared" si="0"/>
        <v>-24.936546663080662</v>
      </c>
      <c r="G25" s="40">
        <f t="shared" si="1"/>
        <v>-0.18075410304267914</v>
      </c>
    </row>
    <row r="26" spans="1:7" ht="12" customHeight="1" x14ac:dyDescent="0.25">
      <c r="A26" s="26"/>
      <c r="B26" s="28" t="s">
        <v>14</v>
      </c>
      <c r="C26" s="29">
        <v>1994</v>
      </c>
      <c r="D26" s="39">
        <f>295223.46/2068.7</f>
        <v>142.70965340552038</v>
      </c>
      <c r="E26" s="39">
        <f t="shared" si="3"/>
        <v>162.89494563338076</v>
      </c>
      <c r="F26" s="39">
        <f t="shared" si="0"/>
        <v>-20.185292227860373</v>
      </c>
      <c r="G26" s="40">
        <f t="shared" si="1"/>
        <v>-0.14144307512612564</v>
      </c>
    </row>
    <row r="27" spans="1:7" ht="12" customHeight="1" x14ac:dyDescent="0.25">
      <c r="A27" s="26"/>
      <c r="B27" s="28" t="s">
        <v>15</v>
      </c>
      <c r="C27" s="29">
        <v>1994</v>
      </c>
      <c r="D27" s="39">
        <f>303882.54/2121.45</f>
        <v>143.24284805203988</v>
      </c>
      <c r="E27" s="39">
        <f t="shared" si="3"/>
        <v>162.89494563338076</v>
      </c>
      <c r="F27" s="39">
        <f t="shared" si="0"/>
        <v>-19.652097581340882</v>
      </c>
      <c r="G27" s="40">
        <f t="shared" si="1"/>
        <v>-0.13719426727819117</v>
      </c>
    </row>
    <row r="28" spans="1:7" ht="12" customHeight="1" x14ac:dyDescent="0.25">
      <c r="A28" s="26"/>
      <c r="B28" s="28" t="s">
        <v>16</v>
      </c>
      <c r="C28" s="29">
        <v>1994</v>
      </c>
      <c r="D28" s="39">
        <f>314116.85/2161.27</f>
        <v>145.33901363550135</v>
      </c>
      <c r="E28" s="39">
        <f t="shared" si="3"/>
        <v>162.89494563338076</v>
      </c>
      <c r="F28" s="39">
        <f t="shared" si="0"/>
        <v>-17.555931997879412</v>
      </c>
      <c r="G28" s="40">
        <f t="shared" si="1"/>
        <v>-0.12079297608217082</v>
      </c>
    </row>
    <row r="29" spans="1:7" ht="12" customHeight="1" x14ac:dyDescent="0.25">
      <c r="A29" s="26"/>
      <c r="B29" s="28" t="s">
        <v>10</v>
      </c>
      <c r="C29" s="29">
        <v>1994</v>
      </c>
      <c r="D29" s="39">
        <f>319028.81/2170.38</f>
        <v>146.99214423280716</v>
      </c>
      <c r="E29" s="39">
        <f t="shared" si="3"/>
        <v>162.89494563338076</v>
      </c>
      <c r="F29" s="39">
        <f t="shared" si="0"/>
        <v>-15.902801400573594</v>
      </c>
      <c r="G29" s="40">
        <f t="shared" si="1"/>
        <v>-0.10818810408933574</v>
      </c>
    </row>
    <row r="30" spans="1:7" ht="12" customHeight="1" x14ac:dyDescent="0.25">
      <c r="A30" s="26"/>
      <c r="B30" s="28" t="s">
        <v>8</v>
      </c>
      <c r="C30" s="29">
        <v>1994</v>
      </c>
      <c r="D30" s="39">
        <f>324996.82/2180.99</f>
        <v>149.01343885116393</v>
      </c>
      <c r="E30" s="39">
        <f t="shared" si="3"/>
        <v>162.89494563338076</v>
      </c>
      <c r="F30" s="39">
        <f t="shared" si="0"/>
        <v>-13.881506782216832</v>
      </c>
      <c r="G30" s="40">
        <f t="shared" si="1"/>
        <v>-9.3156072963874195E-2</v>
      </c>
    </row>
    <row r="31" spans="1:7" ht="12" customHeight="1" x14ac:dyDescent="0.25">
      <c r="A31" s="26"/>
      <c r="B31" s="28" t="s">
        <v>4</v>
      </c>
      <c r="C31" s="29">
        <v>1994</v>
      </c>
      <c r="D31" s="39">
        <f>330405.33/2199.46</f>
        <v>150.22111336418939</v>
      </c>
      <c r="E31" s="39">
        <f t="shared" ref="E31:E36" si="4">431480/2199.46</f>
        <v>196.17542487701527</v>
      </c>
      <c r="F31" s="39">
        <f t="shared" si="0"/>
        <v>-45.954311512825882</v>
      </c>
      <c r="G31" s="40">
        <f t="shared" si="1"/>
        <v>-0.30591113648196905</v>
      </c>
    </row>
    <row r="32" spans="1:7" ht="12" customHeight="1" x14ac:dyDescent="0.25">
      <c r="A32" s="26"/>
      <c r="B32" s="28" t="s">
        <v>7</v>
      </c>
      <c r="C32" s="29">
        <v>1994</v>
      </c>
      <c r="D32" s="39">
        <f>335226.9/2243.71</f>
        <v>149.4074100485357</v>
      </c>
      <c r="E32" s="39">
        <f t="shared" si="4"/>
        <v>196.17542487701527</v>
      </c>
      <c r="F32" s="39">
        <f t="shared" si="0"/>
        <v>-46.768014828479579</v>
      </c>
      <c r="G32" s="40">
        <f t="shared" si="1"/>
        <v>-0.3130233956487618</v>
      </c>
    </row>
    <row r="33" spans="1:7" ht="12" customHeight="1" x14ac:dyDescent="0.25">
      <c r="A33" s="26"/>
      <c r="B33" s="28" t="s">
        <v>9</v>
      </c>
      <c r="C33" s="29">
        <v>1994</v>
      </c>
      <c r="D33" s="39">
        <f>341249.29/2260.88</f>
        <v>150.93648933158769</v>
      </c>
      <c r="E33" s="39">
        <f t="shared" si="4"/>
        <v>196.17542487701527</v>
      </c>
      <c r="F33" s="39">
        <f t="shared" si="0"/>
        <v>-45.23893554542758</v>
      </c>
      <c r="G33" s="40">
        <f t="shared" si="1"/>
        <v>-0.29972166270571965</v>
      </c>
    </row>
    <row r="34" spans="1:7" ht="12" customHeight="1" x14ac:dyDescent="0.25">
      <c r="A34" s="26"/>
      <c r="B34" s="28" t="s">
        <v>11</v>
      </c>
      <c r="C34" s="29">
        <v>1994</v>
      </c>
      <c r="D34" s="39">
        <f>347395.38/2279.25</f>
        <v>152.41653175386639</v>
      </c>
      <c r="E34" s="39">
        <f t="shared" si="4"/>
        <v>196.17542487701527</v>
      </c>
      <c r="F34" s="39">
        <f t="shared" si="0"/>
        <v>-43.75889312314888</v>
      </c>
      <c r="G34" s="40">
        <f t="shared" si="1"/>
        <v>-0.28710070108283275</v>
      </c>
    </row>
    <row r="35" spans="1:7" ht="12" customHeight="1" x14ac:dyDescent="0.25">
      <c r="A35" s="26"/>
      <c r="B35" s="28" t="s">
        <v>3</v>
      </c>
      <c r="C35" s="29">
        <v>1994</v>
      </c>
      <c r="D35" s="39">
        <f>353051.84/2303.73</f>
        <v>153.25226480533743</v>
      </c>
      <c r="E35" s="39">
        <f t="shared" si="4"/>
        <v>196.17542487701527</v>
      </c>
      <c r="F35" s="39">
        <f t="shared" si="0"/>
        <v>-42.923160071677842</v>
      </c>
      <c r="G35" s="40">
        <f t="shared" si="1"/>
        <v>-0.28008173403635678</v>
      </c>
    </row>
    <row r="36" spans="1:7" x14ac:dyDescent="0.25">
      <c r="A36" s="26"/>
      <c r="B36" s="28" t="s">
        <v>12</v>
      </c>
      <c r="C36" s="29">
        <v>1994</v>
      </c>
      <c r="D36" s="39">
        <f>359985.49/2299.28</f>
        <v>156.56444191225077</v>
      </c>
      <c r="E36" s="39">
        <f t="shared" si="4"/>
        <v>196.17542487701527</v>
      </c>
      <c r="F36" s="39">
        <f t="shared" si="0"/>
        <v>-39.610982964764503</v>
      </c>
      <c r="G36" s="40">
        <f t="shared" si="1"/>
        <v>-0.25300114432729981</v>
      </c>
    </row>
    <row r="37" spans="1:7" x14ac:dyDescent="0.25">
      <c r="A37" s="26"/>
      <c r="B37" s="28" t="s">
        <v>13</v>
      </c>
      <c r="C37" s="29">
        <v>1995</v>
      </c>
      <c r="D37" s="39">
        <f>377226.17/2348.91</f>
        <v>160.59626379895357</v>
      </c>
      <c r="E37" s="39">
        <f t="shared" ref="E37:E42" si="5">533580.84/2348.91</f>
        <v>227.16104065289858</v>
      </c>
      <c r="F37" s="39">
        <f t="shared" si="0"/>
        <v>-66.564776853945006</v>
      </c>
      <c r="G37" s="40">
        <f t="shared" si="1"/>
        <v>-0.41448521453323334</v>
      </c>
    </row>
    <row r="38" spans="1:7" x14ac:dyDescent="0.25">
      <c r="A38" s="26"/>
      <c r="B38" s="28" t="s">
        <v>14</v>
      </c>
      <c r="C38" s="29">
        <v>1995</v>
      </c>
      <c r="D38" s="39">
        <f>382600.51/2390.87</f>
        <v>160.02564338504394</v>
      </c>
      <c r="E38" s="39">
        <f t="shared" si="5"/>
        <v>227.16104065289858</v>
      </c>
      <c r="F38" s="39">
        <f t="shared" si="0"/>
        <v>-67.135397267854643</v>
      </c>
      <c r="G38" s="40">
        <f t="shared" si="1"/>
        <v>-0.41952899452694309</v>
      </c>
    </row>
    <row r="39" spans="1:7" x14ac:dyDescent="0.25">
      <c r="A39" s="26"/>
      <c r="B39" s="28" t="s">
        <v>15</v>
      </c>
      <c r="C39" s="29">
        <v>1995</v>
      </c>
      <c r="D39" s="39">
        <f>390324.09/2408.71</f>
        <v>162.04694213915334</v>
      </c>
      <c r="E39" s="39">
        <f t="shared" si="5"/>
        <v>227.16104065289858</v>
      </c>
      <c r="F39" s="39">
        <f t="shared" si="0"/>
        <v>-65.114098513745233</v>
      </c>
      <c r="G39" s="40">
        <f t="shared" si="1"/>
        <v>-0.40182244511488713</v>
      </c>
    </row>
    <row r="40" spans="1:7" x14ac:dyDescent="0.25">
      <c r="A40" s="26"/>
      <c r="B40" s="28" t="s">
        <v>16</v>
      </c>
      <c r="C40" s="29">
        <v>1995</v>
      </c>
      <c r="D40" s="39">
        <f>398637.99/2433.48</f>
        <v>163.81395778884558</v>
      </c>
      <c r="E40" s="39">
        <f t="shared" si="5"/>
        <v>227.16104065289858</v>
      </c>
      <c r="F40" s="39">
        <f t="shared" si="0"/>
        <v>-63.347082864052993</v>
      </c>
      <c r="G40" s="40">
        <f t="shared" si="1"/>
        <v>-0.38670137587241921</v>
      </c>
    </row>
    <row r="41" spans="1:7" x14ac:dyDescent="0.25">
      <c r="A41" s="26"/>
      <c r="B41" s="28" t="s">
        <v>10</v>
      </c>
      <c r="C41" s="29">
        <v>1995</v>
      </c>
      <c r="D41" s="39">
        <f>404694.93/2458.45</f>
        <v>164.61385425776405</v>
      </c>
      <c r="E41" s="39">
        <f t="shared" si="5"/>
        <v>227.16104065289858</v>
      </c>
      <c r="F41" s="39">
        <f t="shared" si="0"/>
        <v>-62.547186395134531</v>
      </c>
      <c r="G41" s="40">
        <f t="shared" si="1"/>
        <v>-0.37996307587327194</v>
      </c>
    </row>
    <row r="42" spans="1:7" x14ac:dyDescent="0.25">
      <c r="A42" s="26"/>
      <c r="B42" s="28" t="s">
        <v>8</v>
      </c>
      <c r="C42" s="29">
        <v>1995</v>
      </c>
      <c r="D42" s="39">
        <f>409976.78/2532.87</f>
        <v>161.86254328094219</v>
      </c>
      <c r="E42" s="39">
        <f t="shared" si="5"/>
        <v>227.16104065289858</v>
      </c>
      <c r="F42" s="39">
        <f t="shared" si="0"/>
        <v>-65.298497371956387</v>
      </c>
      <c r="G42" s="40">
        <f t="shared" si="1"/>
        <v>-0.40341944497077897</v>
      </c>
    </row>
    <row r="43" spans="1:7" x14ac:dyDescent="0.25">
      <c r="A43" s="26"/>
      <c r="B43" s="28" t="s">
        <v>4</v>
      </c>
      <c r="C43" s="29">
        <v>1995</v>
      </c>
      <c r="D43" s="39">
        <f>414429.5/2575.35</f>
        <v>160.92162230376454</v>
      </c>
      <c r="E43" s="39">
        <f t="shared" ref="E43:E48" si="6">571952.5/2575.35</f>
        <v>222.08728910633508</v>
      </c>
      <c r="F43" s="39">
        <f t="shared" si="0"/>
        <v>-61.165666802570541</v>
      </c>
      <c r="G43" s="40">
        <f t="shared" si="1"/>
        <v>-0.38009601150497263</v>
      </c>
    </row>
    <row r="44" spans="1:7" x14ac:dyDescent="0.25">
      <c r="A44" s="26"/>
      <c r="B44" s="28" t="s">
        <v>7</v>
      </c>
      <c r="C44" s="29">
        <v>1995</v>
      </c>
      <c r="D44" s="39">
        <f>419046.77/2594.51</f>
        <v>161.51287526353724</v>
      </c>
      <c r="E44" s="39">
        <f t="shared" si="6"/>
        <v>222.08728910633508</v>
      </c>
      <c r="F44" s="39">
        <f t="shared" si="0"/>
        <v>-60.574413842797838</v>
      </c>
      <c r="G44" s="40">
        <f t="shared" si="1"/>
        <v>-0.37504387030420833</v>
      </c>
    </row>
    <row r="45" spans="1:7" x14ac:dyDescent="0.25">
      <c r="A45" s="26"/>
      <c r="B45" s="28" t="s">
        <v>9</v>
      </c>
      <c r="C45" s="29">
        <v>1995</v>
      </c>
      <c r="D45" s="39">
        <f>433794.73/2632.58</f>
        <v>164.77931534844146</v>
      </c>
      <c r="E45" s="39">
        <f t="shared" si="6"/>
        <v>222.08728910633508</v>
      </c>
      <c r="F45" s="39">
        <f t="shared" si="0"/>
        <v>-57.30797375789362</v>
      </c>
      <c r="G45" s="40">
        <f t="shared" si="1"/>
        <v>-0.34778621113160041</v>
      </c>
    </row>
    <row r="46" spans="1:7" x14ac:dyDescent="0.25">
      <c r="A46" s="26"/>
      <c r="B46" s="28" t="s">
        <v>11</v>
      </c>
      <c r="C46" s="29">
        <v>1995</v>
      </c>
      <c r="D46" s="39">
        <f>442726.61/2680.74</f>
        <v>165.15089490215388</v>
      </c>
      <c r="E46" s="39">
        <f t="shared" si="6"/>
        <v>222.08728910633508</v>
      </c>
      <c r="F46" s="39">
        <f t="shared" si="0"/>
        <v>-56.936394204181198</v>
      </c>
      <c r="G46" s="40">
        <f t="shared" si="1"/>
        <v>-0.34475377343800662</v>
      </c>
    </row>
    <row r="47" spans="1:7" x14ac:dyDescent="0.25">
      <c r="A47" s="26"/>
      <c r="B47" s="28" t="s">
        <v>3</v>
      </c>
      <c r="C47" s="29">
        <v>1995</v>
      </c>
      <c r="D47" s="39">
        <f>449527/2817.67</f>
        <v>159.53855490529409</v>
      </c>
      <c r="E47" s="39">
        <f t="shared" si="6"/>
        <v>222.08728910633508</v>
      </c>
      <c r="F47" s="39">
        <f t="shared" si="0"/>
        <v>-62.548734201040986</v>
      </c>
      <c r="G47" s="40">
        <f t="shared" si="1"/>
        <v>-0.3920603031547541</v>
      </c>
    </row>
    <row r="48" spans="1:7" x14ac:dyDescent="0.25">
      <c r="A48" s="26"/>
      <c r="B48" s="28" t="s">
        <v>12</v>
      </c>
      <c r="C48" s="29">
        <v>1995</v>
      </c>
      <c r="D48" s="39">
        <f>456963/2917.87</f>
        <v>156.60841641334261</v>
      </c>
      <c r="E48" s="39">
        <f t="shared" si="6"/>
        <v>222.08728910633508</v>
      </c>
      <c r="F48" s="39">
        <f t="shared" si="0"/>
        <v>-65.478872692992468</v>
      </c>
      <c r="G48" s="40">
        <f t="shared" si="1"/>
        <v>-0.41810570716819945</v>
      </c>
    </row>
    <row r="49" spans="1:7" x14ac:dyDescent="0.25">
      <c r="A49" s="26"/>
      <c r="B49" s="28" t="s">
        <v>13</v>
      </c>
      <c r="C49" s="29">
        <v>1996</v>
      </c>
      <c r="D49" s="39">
        <f>468532/2923.55</f>
        <v>160.26132612748199</v>
      </c>
      <c r="E49" s="39">
        <f t="shared" ref="E49:E54" si="7">730538/2923.55</f>
        <v>249.88045355817411</v>
      </c>
      <c r="F49" s="39">
        <f t="shared" si="0"/>
        <v>-89.619127430692117</v>
      </c>
      <c r="G49" s="40">
        <f t="shared" si="1"/>
        <v>-0.55920620149744293</v>
      </c>
    </row>
    <row r="50" spans="1:7" x14ac:dyDescent="0.25">
      <c r="A50" s="26"/>
      <c r="B50" s="28" t="s">
        <v>14</v>
      </c>
      <c r="C50" s="29">
        <v>1996</v>
      </c>
      <c r="D50" s="39">
        <f>484249/2951.21</f>
        <v>164.08490076951489</v>
      </c>
      <c r="E50" s="39">
        <f t="shared" si="7"/>
        <v>249.88045355817411</v>
      </c>
      <c r="F50" s="39">
        <f t="shared" si="0"/>
        <v>-85.795552788659222</v>
      </c>
      <c r="G50" s="40">
        <f t="shared" si="1"/>
        <v>-0.52287292972297095</v>
      </c>
    </row>
    <row r="51" spans="1:7" x14ac:dyDescent="0.25">
      <c r="A51" s="26"/>
      <c r="B51" s="28" t="s">
        <v>15</v>
      </c>
      <c r="C51" s="29">
        <v>1996</v>
      </c>
      <c r="D51" s="39">
        <f>497703/3023.72</f>
        <v>164.59956609738998</v>
      </c>
      <c r="E51" s="39">
        <f t="shared" si="7"/>
        <v>249.88045355817411</v>
      </c>
      <c r="F51" s="39">
        <f t="shared" si="0"/>
        <v>-85.280887460784129</v>
      </c>
      <c r="G51" s="40">
        <f t="shared" si="1"/>
        <v>-0.51811125316287454</v>
      </c>
    </row>
    <row r="52" spans="1:7" x14ac:dyDescent="0.25">
      <c r="A52" s="26"/>
      <c r="B52" s="28" t="s">
        <v>16</v>
      </c>
      <c r="C52" s="29">
        <v>1996</v>
      </c>
      <c r="D52" s="39">
        <f>509514/3072.53</f>
        <v>165.82881208645642</v>
      </c>
      <c r="E52" s="39">
        <f t="shared" si="7"/>
        <v>249.88045355817411</v>
      </c>
      <c r="F52" s="39">
        <f t="shared" si="0"/>
        <v>-84.051641471717687</v>
      </c>
      <c r="G52" s="40">
        <f t="shared" si="1"/>
        <v>-0.50685788804840837</v>
      </c>
    </row>
    <row r="53" spans="1:7" x14ac:dyDescent="0.25">
      <c r="A53" s="26"/>
      <c r="B53" s="28" t="s">
        <v>10</v>
      </c>
      <c r="C53" s="29">
        <v>1996</v>
      </c>
      <c r="D53" s="39">
        <f>511173/3117.55</f>
        <v>163.96625555323891</v>
      </c>
      <c r="E53" s="39">
        <f t="shared" si="7"/>
        <v>249.88045355817411</v>
      </c>
      <c r="F53" s="39">
        <f t="shared" si="0"/>
        <v>-85.914198004935201</v>
      </c>
      <c r="G53" s="40">
        <f t="shared" si="1"/>
        <v>-0.52397487345827298</v>
      </c>
    </row>
    <row r="54" spans="1:7" x14ac:dyDescent="0.25">
      <c r="A54" s="26"/>
      <c r="B54" s="28" t="s">
        <v>8</v>
      </c>
      <c r="C54" s="29">
        <v>1996</v>
      </c>
      <c r="D54" s="39">
        <f>519219/3138.82</f>
        <v>165.41853307931004</v>
      </c>
      <c r="E54" s="39">
        <f t="shared" si="7"/>
        <v>249.88045355817411</v>
      </c>
      <c r="F54" s="39">
        <f t="shared" si="0"/>
        <v>-84.461920478864073</v>
      </c>
      <c r="G54" s="40">
        <f t="shared" si="1"/>
        <v>-0.51059526950567713</v>
      </c>
    </row>
    <row r="55" spans="1:7" x14ac:dyDescent="0.25">
      <c r="A55" s="26"/>
      <c r="B55" s="28" t="s">
        <v>4</v>
      </c>
      <c r="C55" s="29">
        <v>1996</v>
      </c>
      <c r="D55" s="39">
        <f>530254/3178.02</f>
        <v>166.85042888339279</v>
      </c>
      <c r="E55" s="39">
        <f t="shared" ref="E55:E60" si="8">827138/3178.02</f>
        <v>260.26834318223297</v>
      </c>
      <c r="F55" s="39">
        <f t="shared" si="0"/>
        <v>-93.417914298840174</v>
      </c>
      <c r="G55" s="40">
        <f t="shared" si="1"/>
        <v>-0.55989016584504792</v>
      </c>
    </row>
    <row r="56" spans="1:7" x14ac:dyDescent="0.25">
      <c r="A56" s="26" t="s">
        <v>19</v>
      </c>
      <c r="B56" s="28" t="s">
        <v>7</v>
      </c>
      <c r="C56" s="29">
        <v>1996</v>
      </c>
      <c r="D56" s="39">
        <f>542387/3272.41</f>
        <v>165.74542920966505</v>
      </c>
      <c r="E56" s="39">
        <f t="shared" si="8"/>
        <v>260.26834318223297</v>
      </c>
      <c r="F56" s="39">
        <f t="shared" si="0"/>
        <v>-94.52291397256792</v>
      </c>
      <c r="G56" s="40">
        <f t="shared" si="1"/>
        <v>-0.57028971732908607</v>
      </c>
    </row>
    <row r="57" spans="1:7" x14ac:dyDescent="0.25">
      <c r="A57" s="26"/>
      <c r="B57" s="28" t="s">
        <v>9</v>
      </c>
      <c r="C57" s="29">
        <v>1996</v>
      </c>
      <c r="D57" s="39">
        <f>555064/3296.72</f>
        <v>168.36856026596132</v>
      </c>
      <c r="E57" s="39">
        <f t="shared" si="8"/>
        <v>260.26834318223297</v>
      </c>
      <c r="F57" s="39">
        <f t="shared" si="0"/>
        <v>-91.899782916271647</v>
      </c>
      <c r="G57" s="40">
        <f t="shared" si="1"/>
        <v>-0.54582508023530807</v>
      </c>
    </row>
    <row r="58" spans="1:7" x14ac:dyDescent="0.25">
      <c r="A58" s="26"/>
      <c r="B58" s="28" t="s">
        <v>11</v>
      </c>
      <c r="C58" s="29">
        <v>1996</v>
      </c>
      <c r="D58" s="39">
        <f>570760/3323.8</f>
        <v>171.71911667368673</v>
      </c>
      <c r="E58" s="39">
        <f t="shared" si="8"/>
        <v>260.26834318223297</v>
      </c>
      <c r="F58" s="39">
        <f t="shared" si="0"/>
        <v>-88.549226508546241</v>
      </c>
      <c r="G58" s="40">
        <f t="shared" si="1"/>
        <v>-0.51566318429656255</v>
      </c>
    </row>
    <row r="59" spans="1:7" x14ac:dyDescent="0.25">
      <c r="A59" s="26"/>
      <c r="B59" s="28" t="s">
        <v>3</v>
      </c>
      <c r="C59" s="29">
        <v>1996</v>
      </c>
      <c r="D59" s="39">
        <f>579442/3405.56</f>
        <v>170.14587909183805</v>
      </c>
      <c r="E59" s="39">
        <f t="shared" si="8"/>
        <v>260.26834318223297</v>
      </c>
      <c r="F59" s="39">
        <f t="shared" si="0"/>
        <v>-90.122464090394914</v>
      </c>
      <c r="G59" s="40">
        <f t="shared" si="1"/>
        <v>-0.52967761882584508</v>
      </c>
    </row>
    <row r="60" spans="1:7" x14ac:dyDescent="0.25">
      <c r="A60" s="26"/>
      <c r="B60" s="28" t="s">
        <v>12</v>
      </c>
      <c r="C60" s="29">
        <v>1996</v>
      </c>
      <c r="D60" s="39">
        <f>591176/3592.21</f>
        <v>164.57167036448314</v>
      </c>
      <c r="E60" s="39">
        <f t="shared" si="8"/>
        <v>260.26834318223297</v>
      </c>
      <c r="F60" s="39">
        <f t="shared" si="0"/>
        <v>-95.696672817749828</v>
      </c>
      <c r="G60" s="40">
        <f t="shared" si="1"/>
        <v>-0.58148934507261651</v>
      </c>
    </row>
    <row r="61" spans="1:7" x14ac:dyDescent="0.25">
      <c r="A61" s="26"/>
      <c r="B61" s="28" t="s">
        <v>13</v>
      </c>
      <c r="C61" s="29">
        <v>1997</v>
      </c>
      <c r="D61" s="39">
        <f>641468/3672.81</f>
        <v>174.65319469289182</v>
      </c>
      <c r="E61" s="39">
        <f t="shared" ref="E61:E66" si="9">935008/3672.81</f>
        <v>254.57565188506894</v>
      </c>
      <c r="F61" s="39">
        <f t="shared" si="0"/>
        <v>-79.92245719217712</v>
      </c>
      <c r="G61" s="40">
        <f t="shared" si="1"/>
        <v>-0.45760661482724008</v>
      </c>
    </row>
    <row r="62" spans="1:7" x14ac:dyDescent="0.25">
      <c r="A62" s="26"/>
      <c r="B62" s="28" t="s">
        <v>14</v>
      </c>
      <c r="C62" s="29">
        <v>1997</v>
      </c>
      <c r="D62" s="39">
        <f>660399/3739.57</f>
        <v>176.59757672673595</v>
      </c>
      <c r="E62" s="39">
        <f t="shared" si="9"/>
        <v>254.57565188506894</v>
      </c>
      <c r="F62" s="39">
        <f t="shared" si="0"/>
        <v>-77.978075158332985</v>
      </c>
      <c r="G62" s="40">
        <f t="shared" si="1"/>
        <v>-0.44155801344315676</v>
      </c>
    </row>
    <row r="63" spans="1:7" x14ac:dyDescent="0.25">
      <c r="A63" s="26" t="s">
        <v>20</v>
      </c>
      <c r="B63" s="28" t="s">
        <v>15</v>
      </c>
      <c r="C63" s="29">
        <v>1997</v>
      </c>
      <c r="D63" s="39">
        <f>666432/3784.11</f>
        <v>176.1132736627635</v>
      </c>
      <c r="E63" s="39">
        <f t="shared" si="9"/>
        <v>254.57565188506894</v>
      </c>
      <c r="F63" s="39">
        <f t="shared" si="0"/>
        <v>-78.462378222305432</v>
      </c>
      <c r="G63" s="40">
        <f t="shared" si="1"/>
        <v>-0.4455222289067875</v>
      </c>
    </row>
    <row r="64" spans="1:7" x14ac:dyDescent="0.25">
      <c r="A64" s="26"/>
      <c r="B64" s="28" t="s">
        <v>16</v>
      </c>
      <c r="C64" s="29">
        <v>1997</v>
      </c>
      <c r="D64" s="39">
        <f>682637/3834.08</f>
        <v>178.04453741184327</v>
      </c>
      <c r="E64" s="39">
        <f t="shared" si="9"/>
        <v>254.57565188506894</v>
      </c>
      <c r="F64" s="39">
        <f t="shared" si="0"/>
        <v>-76.531114473225671</v>
      </c>
      <c r="G64" s="40">
        <f t="shared" si="1"/>
        <v>-0.42984253033384517</v>
      </c>
    </row>
    <row r="65" spans="1:7" x14ac:dyDescent="0.25">
      <c r="A65" s="26"/>
      <c r="B65" s="28" t="s">
        <v>10</v>
      </c>
      <c r="C65" s="29">
        <v>1997</v>
      </c>
      <c r="D65" s="39">
        <f>689870/3898.22</f>
        <v>176.97051474775668</v>
      </c>
      <c r="E65" s="39">
        <f t="shared" si="9"/>
        <v>254.57565188506894</v>
      </c>
      <c r="F65" s="39">
        <f t="shared" si="0"/>
        <v>-77.605137137312255</v>
      </c>
      <c r="G65" s="40">
        <f t="shared" si="1"/>
        <v>-0.43852015262500665</v>
      </c>
    </row>
    <row r="66" spans="1:7" x14ac:dyDescent="0.25">
      <c r="A66" s="26"/>
      <c r="B66" s="28" t="s">
        <v>8</v>
      </c>
      <c r="C66" s="29">
        <v>1997</v>
      </c>
      <c r="D66" s="39">
        <f>698981/3954.85</f>
        <v>176.74020506466744</v>
      </c>
      <c r="E66" s="39">
        <f t="shared" si="9"/>
        <v>254.57565188506894</v>
      </c>
      <c r="F66" s="39">
        <f t="shared" si="0"/>
        <v>-77.835446820401501</v>
      </c>
      <c r="G66" s="40">
        <f t="shared" si="1"/>
        <v>-0.44039468434430246</v>
      </c>
    </row>
    <row r="67" spans="1:7" x14ac:dyDescent="0.25">
      <c r="A67" s="26"/>
      <c r="B67" s="28" t="s">
        <v>4</v>
      </c>
      <c r="C67" s="29">
        <v>1997</v>
      </c>
      <c r="D67" s="39">
        <f>716584/4018.645</f>
        <v>178.3148299986687</v>
      </c>
      <c r="E67" s="39">
        <f t="shared" ref="E67:E72" si="10">1026913/4018.64</f>
        <v>255.5374455039516</v>
      </c>
      <c r="F67" s="39">
        <f t="shared" si="0"/>
        <v>-77.222615505282903</v>
      </c>
      <c r="G67" s="40">
        <f t="shared" si="1"/>
        <v>-0.43306894612107949</v>
      </c>
    </row>
    <row r="68" spans="1:7" x14ac:dyDescent="0.25">
      <c r="A68" s="26"/>
      <c r="B68" s="28" t="s">
        <v>7</v>
      </c>
      <c r="C68" s="29">
        <v>1997</v>
      </c>
      <c r="D68" s="39">
        <f>729039/4080.24</f>
        <v>178.67551908711252</v>
      </c>
      <c r="E68" s="39">
        <f t="shared" si="10"/>
        <v>255.5374455039516</v>
      </c>
      <c r="F68" s="39">
        <f t="shared" si="0"/>
        <v>-76.861926416839083</v>
      </c>
      <c r="G68" s="40">
        <f t="shared" si="1"/>
        <v>-0.43017603536030791</v>
      </c>
    </row>
    <row r="69" spans="1:7" x14ac:dyDescent="0.25">
      <c r="A69" s="26"/>
      <c r="B69" s="28" t="s">
        <v>9</v>
      </c>
      <c r="C69" s="29">
        <v>1997</v>
      </c>
      <c r="D69" s="39">
        <f>743440/4130.39</f>
        <v>179.99268834177886</v>
      </c>
      <c r="E69" s="39">
        <f t="shared" si="10"/>
        <v>255.5374455039516</v>
      </c>
      <c r="F69" s="39">
        <f t="shared" si="0"/>
        <v>-75.544757162172743</v>
      </c>
      <c r="G69" s="40">
        <f t="shared" si="1"/>
        <v>-0.41971014410721336</v>
      </c>
    </row>
    <row r="70" spans="1:7" x14ac:dyDescent="0.25">
      <c r="A70" s="26"/>
      <c r="B70" s="28" t="s">
        <v>11</v>
      </c>
      <c r="C70" s="29">
        <v>1997</v>
      </c>
      <c r="D70" s="39">
        <f>762458/4194.89</f>
        <v>181.75875887091198</v>
      </c>
      <c r="E70" s="39">
        <f t="shared" si="10"/>
        <v>255.5374455039516</v>
      </c>
      <c r="F70" s="39">
        <f t="shared" si="0"/>
        <v>-73.778686633039626</v>
      </c>
      <c r="G70" s="40">
        <f t="shared" si="1"/>
        <v>-0.40591544028664089</v>
      </c>
    </row>
    <row r="71" spans="1:7" x14ac:dyDescent="0.25">
      <c r="A71" s="26"/>
      <c r="B71" s="28" t="s">
        <v>3</v>
      </c>
      <c r="C71" s="29">
        <v>1997</v>
      </c>
      <c r="D71" s="39">
        <f>754072/4277.9</f>
        <v>176.27153509899719</v>
      </c>
      <c r="E71" s="39">
        <f t="shared" si="10"/>
        <v>255.5374455039516</v>
      </c>
      <c r="F71" s="39">
        <f t="shared" si="0"/>
        <v>-79.265910404954411</v>
      </c>
      <c r="G71" s="40">
        <f t="shared" si="1"/>
        <v>-0.4496807176521001</v>
      </c>
    </row>
    <row r="72" spans="1:7" x14ac:dyDescent="0.25">
      <c r="A72" s="26"/>
      <c r="B72" s="28" t="s">
        <v>12</v>
      </c>
      <c r="C72" s="29">
        <v>1997</v>
      </c>
      <c r="D72" s="39">
        <f>764800/4393.58</f>
        <v>174.07216893740411</v>
      </c>
      <c r="E72" s="39">
        <f t="shared" si="10"/>
        <v>255.5374455039516</v>
      </c>
      <c r="F72" s="39">
        <f t="shared" si="0"/>
        <v>-81.465276566547487</v>
      </c>
      <c r="G72" s="40">
        <f t="shared" si="1"/>
        <v>-0.46799713626732703</v>
      </c>
    </row>
    <row r="73" spans="1:7" x14ac:dyDescent="0.25">
      <c r="A73" s="26"/>
      <c r="B73" s="28" t="s">
        <v>13</v>
      </c>
      <c r="C73" s="29">
        <v>1998</v>
      </c>
      <c r="D73" s="39">
        <f>789935/4498.55</f>
        <v>175.59769258983451</v>
      </c>
      <c r="E73" s="39">
        <f>1122977/4498.55</f>
        <v>249.63088106167541</v>
      </c>
      <c r="F73" s="39">
        <f t="shared" si="0"/>
        <v>-74.033188471840901</v>
      </c>
      <c r="G73" s="40">
        <f t="shared" si="1"/>
        <v>-0.42160684106920177</v>
      </c>
    </row>
    <row r="74" spans="1:7" x14ac:dyDescent="0.25">
      <c r="A74" s="26"/>
      <c r="B74" s="28" t="s">
        <v>14</v>
      </c>
      <c r="C74" s="29">
        <v>1998</v>
      </c>
      <c r="D74" s="39">
        <f>802246/4537.65</f>
        <v>176.79768161934041</v>
      </c>
      <c r="E74" s="39">
        <f>1122977/4498.55</f>
        <v>249.63088106167541</v>
      </c>
      <c r="F74" s="39">
        <f t="shared" si="0"/>
        <v>-72.833199442335001</v>
      </c>
      <c r="G74" s="40">
        <f t="shared" si="1"/>
        <v>-0.41195788754261337</v>
      </c>
    </row>
    <row r="75" spans="1:7" x14ac:dyDescent="0.25">
      <c r="A75" s="26"/>
      <c r="B75" s="28" t="s">
        <v>15</v>
      </c>
      <c r="C75" s="29">
        <v>1998</v>
      </c>
      <c r="D75" s="39">
        <f>819917/4658.39</f>
        <v>176.00866393754063</v>
      </c>
      <c r="E75" s="39">
        <f>1122977/4498.55</f>
        <v>249.63088106167541</v>
      </c>
      <c r="F75" s="39">
        <f t="shared" si="0"/>
        <v>-73.622217124134778</v>
      </c>
      <c r="G75" s="40">
        <f t="shared" si="1"/>
        <v>-0.41828746083920476</v>
      </c>
    </row>
    <row r="76" spans="1:7" x14ac:dyDescent="0.25">
      <c r="A76" s="26"/>
      <c r="B76" s="28" t="s">
        <v>16</v>
      </c>
      <c r="C76" s="29">
        <v>1998</v>
      </c>
      <c r="D76" s="39">
        <f>865666/4960</f>
        <v>174.52943548387097</v>
      </c>
      <c r="E76" s="39">
        <f>1122977/4498.55</f>
        <v>249.63088106167541</v>
      </c>
      <c r="F76" s="39">
        <f t="shared" ref="F76:F139" si="11">+D76-E76</f>
        <v>-75.101445577804441</v>
      </c>
      <c r="G76" s="40">
        <f t="shared" ref="G76:G83" si="12">+F76/D76</f>
        <v>-0.43030819053296537</v>
      </c>
    </row>
    <row r="77" spans="1:7" x14ac:dyDescent="0.25">
      <c r="A77" s="26"/>
      <c r="B77" s="28" t="s">
        <v>10</v>
      </c>
      <c r="C77" s="29">
        <v>1998</v>
      </c>
      <c r="D77" s="39">
        <f>885865/5150.82</f>
        <v>171.98523730202183</v>
      </c>
      <c r="E77" s="39">
        <f>1135857/5150.82</f>
        <v>220.5196454156814</v>
      </c>
      <c r="F77" s="39">
        <f t="shared" si="11"/>
        <v>-48.534408113659566</v>
      </c>
      <c r="G77" s="40">
        <f t="shared" si="12"/>
        <v>-0.28220101256963526</v>
      </c>
    </row>
    <row r="78" spans="1:7" x14ac:dyDescent="0.25">
      <c r="A78" s="26"/>
      <c r="B78" s="28" t="s">
        <v>8</v>
      </c>
      <c r="C78" s="29">
        <v>1998</v>
      </c>
      <c r="D78" s="39">
        <f>929528/5235.62</f>
        <v>177.5392408157964</v>
      </c>
      <c r="E78" s="39">
        <f>1135857/5150.82</f>
        <v>220.5196454156814</v>
      </c>
      <c r="F78" s="39">
        <f t="shared" si="11"/>
        <v>-42.980404599884992</v>
      </c>
      <c r="G78" s="40">
        <f t="shared" si="12"/>
        <v>-0.24208960454257417</v>
      </c>
    </row>
    <row r="79" spans="1:7" x14ac:dyDescent="0.25">
      <c r="A79" s="26"/>
      <c r="B79" s="28" t="s">
        <v>4</v>
      </c>
      <c r="C79" s="29">
        <v>1998</v>
      </c>
      <c r="D79" s="39">
        <f>929234/5301.8</f>
        <v>175.26764495077143</v>
      </c>
      <c r="E79" s="39">
        <f>1259827/5301.8</f>
        <v>237.62250556414801</v>
      </c>
      <c r="F79" s="39">
        <f t="shared" si="11"/>
        <v>-62.354860613376587</v>
      </c>
      <c r="G79" s="40">
        <f t="shared" si="12"/>
        <v>-0.35576937563627675</v>
      </c>
    </row>
    <row r="80" spans="1:7" x14ac:dyDescent="0.25">
      <c r="A80" s="6" t="s">
        <v>21</v>
      </c>
      <c r="B80" s="17" t="s">
        <v>7</v>
      </c>
      <c r="C80" s="18">
        <v>1998</v>
      </c>
      <c r="D80" s="41">
        <f>940489/5432.23</f>
        <v>173.13129230537001</v>
      </c>
      <c r="E80" s="41">
        <f>1259827/5301.8</f>
        <v>237.62250556414801</v>
      </c>
      <c r="F80" s="41">
        <f t="shared" si="11"/>
        <v>-64.491213258778004</v>
      </c>
      <c r="G80" s="42">
        <f t="shared" si="12"/>
        <v>-0.37249888451723689</v>
      </c>
    </row>
    <row r="81" spans="1:7" x14ac:dyDescent="0.25">
      <c r="A81" s="6"/>
      <c r="B81" s="17" t="s">
        <v>9</v>
      </c>
      <c r="C81" s="18">
        <v>1998</v>
      </c>
      <c r="D81" s="41">
        <f>1002420/5886.84</f>
        <v>170.28150926473285</v>
      </c>
      <c r="E81" s="41">
        <f>1259827/5301.8</f>
        <v>237.62250556414801</v>
      </c>
      <c r="F81" s="41">
        <f t="shared" si="11"/>
        <v>-67.340996299415167</v>
      </c>
      <c r="G81" s="42">
        <f t="shared" si="12"/>
        <v>-0.39546863655478665</v>
      </c>
    </row>
    <row r="82" spans="1:7" x14ac:dyDescent="0.25">
      <c r="A82" s="6"/>
      <c r="B82" s="17" t="s">
        <v>11</v>
      </c>
      <c r="C82" s="18">
        <v>1998</v>
      </c>
      <c r="D82" s="41">
        <f>1064572/6619.88</f>
        <v>160.81439542710743</v>
      </c>
      <c r="E82" s="41">
        <f>1433707/6619.88</f>
        <v>216.57598022924887</v>
      </c>
      <c r="F82" s="41">
        <f t="shared" si="11"/>
        <v>-55.761584802141442</v>
      </c>
      <c r="G82" s="42">
        <f t="shared" si="12"/>
        <v>-0.34674498296028838</v>
      </c>
    </row>
    <row r="83" spans="1:7" x14ac:dyDescent="0.25">
      <c r="A83" s="6"/>
      <c r="B83" s="17" t="s">
        <v>3</v>
      </c>
      <c r="C83" s="18">
        <v>1998</v>
      </c>
      <c r="D83" s="41">
        <f>1092235/6449.1</f>
        <v>169.36239165154828</v>
      </c>
      <c r="E83" s="41">
        <f>1433707/6619.88</f>
        <v>216.57598022924887</v>
      </c>
      <c r="F83" s="41">
        <f t="shared" si="11"/>
        <v>-47.213588577700591</v>
      </c>
      <c r="G83" s="42">
        <f t="shared" si="12"/>
        <v>-0.27877256643162768</v>
      </c>
    </row>
    <row r="84" spans="1:7" x14ac:dyDescent="0.25">
      <c r="A84" s="6"/>
      <c r="B84" s="17" t="s">
        <v>12</v>
      </c>
      <c r="C84" s="18">
        <v>1998</v>
      </c>
      <c r="D84" s="41">
        <f>1102208/6582.73</f>
        <v>167.43934507415617</v>
      </c>
      <c r="E84" s="41">
        <f>1433707/6619.88</f>
        <v>216.57598022924887</v>
      </c>
      <c r="F84" s="41">
        <f t="shared" si="11"/>
        <v>-49.136635155092705</v>
      </c>
      <c r="G84" s="42">
        <v>0.30099999999999999</v>
      </c>
    </row>
    <row r="85" spans="1:7" x14ac:dyDescent="0.25">
      <c r="A85" s="6"/>
      <c r="B85" s="17" t="s">
        <v>13</v>
      </c>
      <c r="C85" s="18">
        <v>1999</v>
      </c>
      <c r="D85" s="41">
        <f>1140969/7124.28</f>
        <v>160.15218379962607</v>
      </c>
      <c r="E85" s="41">
        <f>1553603/7124.28</f>
        <v>218.07158056673799</v>
      </c>
      <c r="F85" s="41">
        <f t="shared" si="11"/>
        <v>-57.91939676711192</v>
      </c>
      <c r="G85" s="42">
        <v>0.36199999999999999</v>
      </c>
    </row>
    <row r="86" spans="1:7" x14ac:dyDescent="0.25">
      <c r="A86" s="6"/>
      <c r="B86" s="17" t="s">
        <v>14</v>
      </c>
      <c r="C86" s="18">
        <v>1999</v>
      </c>
      <c r="D86" s="41">
        <f>1176697/7762.34</f>
        <v>151.59049977197597</v>
      </c>
      <c r="E86" s="41">
        <f>1553603/7124.28</f>
        <v>218.07158056673799</v>
      </c>
      <c r="F86" s="41">
        <f t="shared" si="11"/>
        <v>-66.481080794762022</v>
      </c>
      <c r="G86" s="42">
        <v>0.32</v>
      </c>
    </row>
    <row r="87" spans="1:7" x14ac:dyDescent="0.25">
      <c r="A87" s="6"/>
      <c r="B87" s="17" t="s">
        <v>15</v>
      </c>
      <c r="C87" s="18">
        <v>1999</v>
      </c>
      <c r="D87" s="41">
        <f>1293050/10530.26</f>
        <v>122.79373918592702</v>
      </c>
      <c r="E87" s="41">
        <f>1553603/7124.28</f>
        <v>218.07158056673799</v>
      </c>
      <c r="F87" s="41">
        <f t="shared" si="11"/>
        <v>-95.277841380810969</v>
      </c>
      <c r="G87" s="42">
        <v>0.20200000000000001</v>
      </c>
    </row>
    <row r="88" spans="1:7" x14ac:dyDescent="0.25">
      <c r="A88" s="6"/>
      <c r="B88" s="17" t="s">
        <v>16</v>
      </c>
      <c r="C88" s="18">
        <v>1999</v>
      </c>
      <c r="D88" s="41">
        <f>1386524/9425.05</f>
        <v>147.1105193075899</v>
      </c>
      <c r="E88" s="41">
        <f>1566483/9425.05</f>
        <v>166.20421111824342</v>
      </c>
      <c r="F88" s="41">
        <f t="shared" si="11"/>
        <v>-19.093691810653524</v>
      </c>
      <c r="G88" s="42">
        <v>0.13</v>
      </c>
    </row>
    <row r="89" spans="1:7" x14ac:dyDescent="0.25">
      <c r="A89" s="6"/>
      <c r="B89" s="17" t="s">
        <v>10</v>
      </c>
      <c r="C89" s="18">
        <v>1999</v>
      </c>
      <c r="D89" s="41">
        <f>1413659/9000.54</f>
        <v>157.06379839431855</v>
      </c>
      <c r="E89" s="41">
        <f>1566483/9425.05</f>
        <v>166.20421111824342</v>
      </c>
      <c r="F89" s="41">
        <f t="shared" si="11"/>
        <v>-9.140412723924868</v>
      </c>
      <c r="G89" s="42">
        <v>0.108</v>
      </c>
    </row>
    <row r="90" spans="1:7" x14ac:dyDescent="0.25">
      <c r="A90" s="6"/>
      <c r="B90" s="17" t="s">
        <v>8</v>
      </c>
      <c r="C90" s="18">
        <v>1999</v>
      </c>
      <c r="D90" s="41">
        <f>1423280/10842.18</f>
        <v>131.27249317019272</v>
      </c>
      <c r="E90" s="41">
        <f>1592243/10842.18</f>
        <v>146.85635176689559</v>
      </c>
      <c r="F90" s="41">
        <f t="shared" si="11"/>
        <v>-15.583858596702868</v>
      </c>
      <c r="G90" s="42">
        <v>0.11899999999999999</v>
      </c>
    </row>
    <row r="91" spans="1:7" x14ac:dyDescent="0.25">
      <c r="A91" s="6"/>
      <c r="B91" s="17" t="s">
        <v>4</v>
      </c>
      <c r="C91" s="18">
        <v>1999</v>
      </c>
      <c r="D91" s="41">
        <f>1457622/11716.1</f>
        <v>124.41187767260436</v>
      </c>
      <c r="E91" s="41">
        <f t="shared" ref="E91:E96" si="13">1785759/11716.1</f>
        <v>152.41923506969042</v>
      </c>
      <c r="F91" s="41">
        <f t="shared" si="11"/>
        <v>-28.007357397086054</v>
      </c>
      <c r="G91" s="42">
        <v>0.22500000000000001</v>
      </c>
    </row>
    <row r="92" spans="1:7" x14ac:dyDescent="0.25">
      <c r="A92" s="6"/>
      <c r="B92" s="17" t="s">
        <v>7</v>
      </c>
      <c r="C92" s="18">
        <v>1999</v>
      </c>
      <c r="D92" s="41">
        <f>1456104/11189.03</f>
        <v>130.13675001318254</v>
      </c>
      <c r="E92" s="41">
        <f t="shared" si="13"/>
        <v>152.41923506969042</v>
      </c>
      <c r="F92" s="41">
        <f t="shared" si="11"/>
        <v>-22.28248505650788</v>
      </c>
      <c r="G92" s="42">
        <v>0.22600000000000001</v>
      </c>
    </row>
    <row r="93" spans="1:7" x14ac:dyDescent="0.25">
      <c r="A93" s="6"/>
      <c r="B93" s="17" t="s">
        <v>9</v>
      </c>
      <c r="C93" s="18">
        <v>1999</v>
      </c>
      <c r="D93" s="41">
        <f>1472150/12076.94</f>
        <v>121.89759988871353</v>
      </c>
      <c r="E93" s="41">
        <f t="shared" si="13"/>
        <v>152.41923506969042</v>
      </c>
      <c r="F93" s="41">
        <f t="shared" si="11"/>
        <v>-30.521635180976887</v>
      </c>
      <c r="G93" s="42">
        <v>0.21299999999999999</v>
      </c>
    </row>
    <row r="94" spans="1:7" x14ac:dyDescent="0.25">
      <c r="A94" s="6"/>
      <c r="B94" s="17" t="s">
        <v>11</v>
      </c>
      <c r="C94" s="18">
        <v>1999</v>
      </c>
      <c r="D94" s="41">
        <f>1506420/15503.75</f>
        <v>97.164879464645651</v>
      </c>
      <c r="E94" s="41">
        <f t="shared" si="13"/>
        <v>152.41923506969042</v>
      </c>
      <c r="F94" s="41">
        <f t="shared" si="11"/>
        <v>-55.254355605044765</v>
      </c>
      <c r="G94" s="43">
        <f>+F94/D94</f>
        <v>-0.5686659203354395</v>
      </c>
    </row>
    <row r="95" spans="1:7" x14ac:dyDescent="0.25">
      <c r="A95" s="6"/>
      <c r="B95" s="17" t="s">
        <v>3</v>
      </c>
      <c r="C95" s="18">
        <v>1999</v>
      </c>
      <c r="D95" s="41">
        <f>1592009/17411.22</f>
        <v>91.43580978242764</v>
      </c>
      <c r="E95" s="41">
        <f t="shared" si="13"/>
        <v>152.41923506969042</v>
      </c>
      <c r="F95" s="41">
        <f t="shared" si="11"/>
        <v>-60.983425287262776</v>
      </c>
      <c r="G95" s="43">
        <f>+F95/D95</f>
        <v>-0.666953411714441</v>
      </c>
    </row>
    <row r="96" spans="1:7" x14ac:dyDescent="0.25">
      <c r="A96" s="6"/>
      <c r="B96" s="17" t="s">
        <v>12</v>
      </c>
      <c r="C96" s="18">
        <v>1999</v>
      </c>
      <c r="D96" s="41">
        <f>1694738/18140.56</f>
        <v>93.422584528812777</v>
      </c>
      <c r="E96" s="41">
        <f t="shared" si="13"/>
        <v>152.41923506969042</v>
      </c>
      <c r="F96" s="41">
        <f t="shared" si="11"/>
        <v>-58.996650540877638</v>
      </c>
      <c r="G96" s="43">
        <f>+F96/D96</f>
        <v>-0.63150308716499148</v>
      </c>
    </row>
    <row r="97" spans="1:7" x14ac:dyDescent="0.25">
      <c r="A97" s="26" t="s">
        <v>22</v>
      </c>
      <c r="B97" s="28" t="s">
        <v>5</v>
      </c>
      <c r="C97" s="29">
        <v>2000</v>
      </c>
      <c r="D97" s="39">
        <f>1892060/24999.87</f>
        <v>75.682793550526469</v>
      </c>
      <c r="E97" s="39">
        <f>1973593/24999.87</f>
        <v>78.944130509478654</v>
      </c>
      <c r="F97" s="39">
        <f t="shared" si="11"/>
        <v>-3.2613369589521852</v>
      </c>
      <c r="G97" s="44">
        <v>4.2999999999999997E-2</v>
      </c>
    </row>
    <row r="98" spans="1:7" x14ac:dyDescent="0.25">
      <c r="A98" s="26"/>
      <c r="B98" s="28" t="s">
        <v>17</v>
      </c>
      <c r="C98" s="29">
        <v>2000</v>
      </c>
      <c r="D98" s="39">
        <f>2083892/25000</f>
        <v>83.355680000000007</v>
      </c>
      <c r="E98" s="39">
        <f>1973593/24578.1</f>
        <v>80.298843279179437</v>
      </c>
      <c r="F98" s="39">
        <f t="shared" si="11"/>
        <v>3.05683672082057</v>
      </c>
      <c r="G98" s="44">
        <v>5.2999999999999999E-2</v>
      </c>
    </row>
    <row r="99" spans="1:7" x14ac:dyDescent="0.25">
      <c r="A99" s="26"/>
      <c r="B99" s="28" t="s">
        <v>6</v>
      </c>
      <c r="C99" s="29">
        <v>2000</v>
      </c>
      <c r="D99" s="39">
        <f>2301529/25000</f>
        <v>92.061160000000001</v>
      </c>
      <c r="E99" s="39">
        <f>1973593/24578.1</f>
        <v>80.298843279179437</v>
      </c>
      <c r="F99" s="39">
        <f t="shared" si="11"/>
        <v>11.762316720820564</v>
      </c>
      <c r="G99" s="44">
        <f>+F99/D99</f>
        <v>0.12776633186916789</v>
      </c>
    </row>
    <row r="100" spans="1:7" x14ac:dyDescent="0.25">
      <c r="A100" s="26"/>
      <c r="B100" s="28" t="s">
        <v>16</v>
      </c>
      <c r="C100" s="29">
        <v>2000</v>
      </c>
      <c r="D100" s="39">
        <f>2680053/25000</f>
        <v>107.20211999999999</v>
      </c>
      <c r="E100" s="39">
        <f>2842993/25000</f>
        <v>113.71972</v>
      </c>
      <c r="F100" s="39">
        <f t="shared" si="11"/>
        <v>-6.5176000000000016</v>
      </c>
      <c r="G100" s="44">
        <v>6.0999999999999999E-2</v>
      </c>
    </row>
    <row r="101" spans="1:7" x14ac:dyDescent="0.25">
      <c r="A101" s="26"/>
      <c r="B101" s="28" t="s">
        <v>34</v>
      </c>
      <c r="C101" s="29">
        <v>2000</v>
      </c>
      <c r="D101" s="39">
        <v>112.45</v>
      </c>
      <c r="E101" s="39">
        <v>116.3</v>
      </c>
      <c r="F101" s="39">
        <f t="shared" si="11"/>
        <v>-3.8499999999999943</v>
      </c>
      <c r="G101" s="44">
        <v>3.4000000000000002E-2</v>
      </c>
    </row>
    <row r="102" spans="1:7" x14ac:dyDescent="0.25">
      <c r="A102" s="26"/>
      <c r="B102" s="28" t="s">
        <v>35</v>
      </c>
      <c r="C102" s="29">
        <v>2000</v>
      </c>
      <c r="D102" s="39">
        <v>118.74</v>
      </c>
      <c r="E102" s="45">
        <v>164.6</v>
      </c>
      <c r="F102" s="39">
        <f t="shared" si="11"/>
        <v>-45.86</v>
      </c>
      <c r="G102" s="44">
        <v>0.38600000000000001</v>
      </c>
    </row>
    <row r="103" spans="1:7" x14ac:dyDescent="0.25">
      <c r="A103" s="26"/>
      <c r="B103" s="28" t="s">
        <v>23</v>
      </c>
      <c r="C103" s="29">
        <v>2000</v>
      </c>
      <c r="D103" s="39">
        <v>167.93</v>
      </c>
      <c r="E103" s="45">
        <v>163.57</v>
      </c>
      <c r="F103" s="39">
        <f t="shared" si="11"/>
        <v>4.3600000000000136</v>
      </c>
      <c r="G103" s="44">
        <v>2.5999999999999999E-2</v>
      </c>
    </row>
    <row r="104" spans="1:7" x14ac:dyDescent="0.25">
      <c r="A104" s="26"/>
      <c r="B104" s="28" t="s">
        <v>36</v>
      </c>
      <c r="C104" s="29">
        <v>2000</v>
      </c>
      <c r="D104" s="39">
        <v>169.29</v>
      </c>
      <c r="E104" s="45">
        <v>163.57</v>
      </c>
      <c r="F104" s="39">
        <f t="shared" si="11"/>
        <v>5.7199999999999989</v>
      </c>
      <c r="G104" s="44">
        <v>3.4000000000000002E-2</v>
      </c>
    </row>
    <row r="105" spans="1:7" x14ac:dyDescent="0.25">
      <c r="A105" s="26"/>
      <c r="B105" s="28" t="s">
        <v>24</v>
      </c>
      <c r="C105" s="29">
        <v>2000</v>
      </c>
      <c r="D105" s="39">
        <v>175.23</v>
      </c>
      <c r="E105" s="45">
        <v>163.57</v>
      </c>
      <c r="F105" s="39">
        <f t="shared" si="11"/>
        <v>11.659999999999997</v>
      </c>
      <c r="G105" s="44">
        <v>6.7000000000000004E-2</v>
      </c>
    </row>
    <row r="106" spans="1:7" x14ac:dyDescent="0.25">
      <c r="A106" s="26"/>
      <c r="B106" s="28" t="s">
        <v>25</v>
      </c>
      <c r="C106" s="29">
        <v>2000</v>
      </c>
      <c r="D106" s="39">
        <v>179.07</v>
      </c>
      <c r="E106" s="45">
        <v>163.57</v>
      </c>
      <c r="F106" s="39">
        <f t="shared" si="11"/>
        <v>15.5</v>
      </c>
      <c r="G106" s="44">
        <v>8.6999999999999994E-2</v>
      </c>
    </row>
    <row r="107" spans="1:7" x14ac:dyDescent="0.25">
      <c r="A107" s="26"/>
      <c r="B107" s="28" t="s">
        <v>26</v>
      </c>
      <c r="C107" s="29">
        <v>2000</v>
      </c>
      <c r="D107" s="39">
        <v>181.95</v>
      </c>
      <c r="E107" s="45">
        <v>163.57</v>
      </c>
      <c r="F107" s="39">
        <f t="shared" si="11"/>
        <v>18.379999999999995</v>
      </c>
      <c r="G107" s="44">
        <v>0.10100000000000001</v>
      </c>
    </row>
    <row r="108" spans="1:7" x14ac:dyDescent="0.25">
      <c r="A108" s="26"/>
      <c r="B108" s="28" t="s">
        <v>37</v>
      </c>
      <c r="C108" s="29">
        <v>2000</v>
      </c>
      <c r="D108" s="39">
        <v>186.28</v>
      </c>
      <c r="E108" s="28">
        <v>163.57</v>
      </c>
      <c r="F108" s="39">
        <f t="shared" si="11"/>
        <v>22.710000000000008</v>
      </c>
      <c r="G108" s="44">
        <v>0.122</v>
      </c>
    </row>
    <row r="109" spans="1:7" x14ac:dyDescent="0.25">
      <c r="A109" s="26"/>
      <c r="B109" s="28" t="s">
        <v>13</v>
      </c>
      <c r="C109" s="29">
        <v>2001</v>
      </c>
      <c r="D109" s="39">
        <v>202.49</v>
      </c>
      <c r="E109" s="28">
        <v>200.73</v>
      </c>
      <c r="F109" s="39">
        <f t="shared" si="11"/>
        <v>1.7600000000000193</v>
      </c>
      <c r="G109" s="44">
        <v>8.9999999999999993E-3</v>
      </c>
    </row>
    <row r="110" spans="1:7" x14ac:dyDescent="0.25">
      <c r="A110" s="26"/>
      <c r="B110" s="28" t="s">
        <v>14</v>
      </c>
      <c r="C110" s="29">
        <v>2001</v>
      </c>
      <c r="D110" s="39">
        <v>210.12</v>
      </c>
      <c r="E110" s="28">
        <v>200.73</v>
      </c>
      <c r="F110" s="39">
        <f t="shared" si="11"/>
        <v>9.3900000000000148</v>
      </c>
      <c r="G110" s="44">
        <v>4.4999999999999998E-2</v>
      </c>
    </row>
    <row r="111" spans="1:7" x14ac:dyDescent="0.25">
      <c r="A111" s="26"/>
      <c r="B111" s="28" t="s">
        <v>15</v>
      </c>
      <c r="C111" s="29">
        <v>2001</v>
      </c>
      <c r="D111" s="39">
        <v>214.92</v>
      </c>
      <c r="E111" s="45">
        <v>200.73</v>
      </c>
      <c r="F111" s="39">
        <f t="shared" si="11"/>
        <v>14.189999999999998</v>
      </c>
      <c r="G111" s="44">
        <f t="shared" ref="G111:G174" si="14">+F111/D111</f>
        <v>6.6024567280848684E-2</v>
      </c>
    </row>
    <row r="112" spans="1:7" x14ac:dyDescent="0.25">
      <c r="A112" s="26"/>
      <c r="B112" s="28" t="s">
        <v>16</v>
      </c>
      <c r="C112" s="29">
        <v>2001</v>
      </c>
      <c r="D112" s="45">
        <v>218.84</v>
      </c>
      <c r="E112" s="45">
        <v>200.73</v>
      </c>
      <c r="F112" s="39">
        <f t="shared" si="11"/>
        <v>18.110000000000014</v>
      </c>
      <c r="G112" s="44">
        <f t="shared" si="14"/>
        <v>8.2754523853043382E-2</v>
      </c>
    </row>
    <row r="113" spans="1:7" x14ac:dyDescent="0.25">
      <c r="A113" s="26"/>
      <c r="B113" s="28" t="s">
        <v>10</v>
      </c>
      <c r="C113" s="29">
        <v>2001</v>
      </c>
      <c r="D113" s="45">
        <v>218.17</v>
      </c>
      <c r="E113" s="45">
        <v>200.73</v>
      </c>
      <c r="F113" s="39">
        <f t="shared" si="11"/>
        <v>17.439999999999998</v>
      </c>
      <c r="G113" s="44">
        <f t="shared" si="14"/>
        <v>7.9937663290094871E-2</v>
      </c>
    </row>
    <row r="114" spans="1:7" x14ac:dyDescent="0.25">
      <c r="A114" s="26"/>
      <c r="B114" s="28" t="s">
        <v>8</v>
      </c>
      <c r="C114" s="29">
        <v>2001</v>
      </c>
      <c r="D114" s="45">
        <v>218.98</v>
      </c>
      <c r="E114" s="45">
        <v>200.73</v>
      </c>
      <c r="F114" s="39">
        <f t="shared" si="11"/>
        <v>18.25</v>
      </c>
      <c r="G114" s="44">
        <f t="shared" si="14"/>
        <v>8.3340944378482051E-2</v>
      </c>
    </row>
    <row r="115" spans="1:7" x14ac:dyDescent="0.25">
      <c r="A115" s="26"/>
      <c r="B115" s="28" t="s">
        <v>4</v>
      </c>
      <c r="C115" s="29">
        <v>2001</v>
      </c>
      <c r="D115" s="45">
        <v>219.35</v>
      </c>
      <c r="E115" s="45">
        <v>200.73</v>
      </c>
      <c r="F115" s="39">
        <f t="shared" si="11"/>
        <v>18.620000000000005</v>
      </c>
      <c r="G115" s="44">
        <f t="shared" si="14"/>
        <v>8.4887166628675653E-2</v>
      </c>
    </row>
    <row r="116" spans="1:7" x14ac:dyDescent="0.25">
      <c r="A116" s="26"/>
      <c r="B116" s="28" t="s">
        <v>7</v>
      </c>
      <c r="C116" s="29">
        <v>2001</v>
      </c>
      <c r="D116" s="45">
        <v>221.14</v>
      </c>
      <c r="E116" s="45">
        <v>200.73</v>
      </c>
      <c r="F116" s="39">
        <f t="shared" si="11"/>
        <v>20.409999999999997</v>
      </c>
      <c r="G116" s="44">
        <f t="shared" si="14"/>
        <v>9.22944740888125E-2</v>
      </c>
    </row>
    <row r="117" spans="1:7" x14ac:dyDescent="0.25">
      <c r="A117" s="26"/>
      <c r="B117" s="28" t="s">
        <v>9</v>
      </c>
      <c r="C117" s="29">
        <v>2001</v>
      </c>
      <c r="D117" s="45">
        <v>226.26</v>
      </c>
      <c r="E117" s="45">
        <v>200.73</v>
      </c>
      <c r="F117" s="39">
        <f t="shared" si="11"/>
        <v>25.53</v>
      </c>
      <c r="G117" s="44">
        <f t="shared" si="14"/>
        <v>0.1128347918324052</v>
      </c>
    </row>
    <row r="118" spans="1:7" x14ac:dyDescent="0.25">
      <c r="A118" s="26"/>
      <c r="B118" s="28" t="s">
        <v>11</v>
      </c>
      <c r="C118" s="29">
        <v>2001</v>
      </c>
      <c r="D118" s="45">
        <v>229.2</v>
      </c>
      <c r="E118" s="45">
        <v>200.73</v>
      </c>
      <c r="F118" s="39">
        <f t="shared" si="11"/>
        <v>28.47</v>
      </c>
      <c r="G118" s="44">
        <f t="shared" si="14"/>
        <v>0.12421465968586387</v>
      </c>
    </row>
    <row r="119" spans="1:7" x14ac:dyDescent="0.25">
      <c r="A119" s="26"/>
      <c r="B119" s="28" t="s">
        <v>3</v>
      </c>
      <c r="C119" s="29">
        <v>2001</v>
      </c>
      <c r="D119" s="45">
        <v>235.29</v>
      </c>
      <c r="E119" s="45">
        <v>200.73</v>
      </c>
      <c r="F119" s="39">
        <f t="shared" si="11"/>
        <v>34.56</v>
      </c>
      <c r="G119" s="44">
        <f t="shared" si="14"/>
        <v>0.14688257044498279</v>
      </c>
    </row>
    <row r="120" spans="1:7" x14ac:dyDescent="0.25">
      <c r="A120" s="26"/>
      <c r="B120" s="28" t="s">
        <v>12</v>
      </c>
      <c r="C120" s="29">
        <v>2001</v>
      </c>
      <c r="D120" s="45">
        <v>238.4</v>
      </c>
      <c r="E120" s="45">
        <v>200.73</v>
      </c>
      <c r="F120" s="39">
        <f t="shared" si="11"/>
        <v>37.670000000000016</v>
      </c>
      <c r="G120" s="44">
        <f t="shared" si="14"/>
        <v>0.15801174496644302</v>
      </c>
    </row>
    <row r="121" spans="1:7" x14ac:dyDescent="0.25">
      <c r="A121" s="26"/>
      <c r="B121" s="28" t="s">
        <v>5</v>
      </c>
      <c r="C121" s="29">
        <v>2002</v>
      </c>
      <c r="D121" s="45">
        <v>242.91</v>
      </c>
      <c r="E121" s="45">
        <v>221.26</v>
      </c>
      <c r="F121" s="39">
        <f t="shared" si="11"/>
        <v>21.650000000000006</v>
      </c>
      <c r="G121" s="44">
        <f t="shared" si="14"/>
        <v>8.9127660450372584E-2</v>
      </c>
    </row>
    <row r="122" spans="1:7" x14ac:dyDescent="0.25">
      <c r="A122" s="26"/>
      <c r="B122" s="28" t="s">
        <v>17</v>
      </c>
      <c r="C122" s="29">
        <v>2002</v>
      </c>
      <c r="D122" s="45">
        <v>245.43</v>
      </c>
      <c r="E122" s="45">
        <v>221.26</v>
      </c>
      <c r="F122" s="39">
        <f t="shared" si="11"/>
        <v>24.170000000000016</v>
      </c>
      <c r="G122" s="44">
        <f t="shared" si="14"/>
        <v>9.8480218392209648E-2</v>
      </c>
    </row>
    <row r="123" spans="1:7" x14ac:dyDescent="0.25">
      <c r="A123" s="26"/>
      <c r="B123" s="28" t="s">
        <v>6</v>
      </c>
      <c r="C123" s="29">
        <v>2002</v>
      </c>
      <c r="D123" s="45">
        <v>248.38</v>
      </c>
      <c r="E123" s="45">
        <v>221.26</v>
      </c>
      <c r="F123" s="39">
        <f t="shared" si="11"/>
        <v>27.120000000000005</v>
      </c>
      <c r="G123" s="44">
        <f t="shared" si="14"/>
        <v>0.10918753522827927</v>
      </c>
    </row>
    <row r="124" spans="1:7" x14ac:dyDescent="0.25">
      <c r="A124" s="26"/>
      <c r="B124" s="28" t="s">
        <v>16</v>
      </c>
      <c r="C124" s="29">
        <v>2002</v>
      </c>
      <c r="D124" s="45">
        <v>250.99</v>
      </c>
      <c r="E124" s="45">
        <v>221.26</v>
      </c>
      <c r="F124" s="39">
        <f t="shared" si="11"/>
        <v>29.730000000000018</v>
      </c>
      <c r="G124" s="44">
        <f t="shared" si="14"/>
        <v>0.1184509343001714</v>
      </c>
    </row>
    <row r="125" spans="1:7" x14ac:dyDescent="0.25">
      <c r="A125" s="26"/>
      <c r="B125" s="28" t="s">
        <v>10</v>
      </c>
      <c r="C125" s="29">
        <v>2002</v>
      </c>
      <c r="D125" s="45">
        <v>252.71</v>
      </c>
      <c r="E125" s="45">
        <v>221.26</v>
      </c>
      <c r="F125" s="39">
        <f t="shared" si="11"/>
        <v>31.450000000000017</v>
      </c>
      <c r="G125" s="44">
        <f t="shared" si="14"/>
        <v>0.12445095168374823</v>
      </c>
    </row>
    <row r="126" spans="1:7" x14ac:dyDescent="0.25">
      <c r="A126" s="26"/>
      <c r="B126" s="28" t="s">
        <v>8</v>
      </c>
      <c r="C126" s="29">
        <v>2002</v>
      </c>
      <c r="D126" s="45">
        <v>252.79</v>
      </c>
      <c r="E126" s="45">
        <v>221.26</v>
      </c>
      <c r="F126" s="39">
        <f t="shared" si="11"/>
        <v>31.53</v>
      </c>
      <c r="G126" s="44">
        <f t="shared" si="14"/>
        <v>0.12472803512797184</v>
      </c>
    </row>
    <row r="127" spans="1:7" x14ac:dyDescent="0.25">
      <c r="A127" s="26"/>
      <c r="B127" s="28" t="s">
        <v>4</v>
      </c>
      <c r="C127" s="29">
        <v>2002</v>
      </c>
      <c r="D127" s="45">
        <v>254.63</v>
      </c>
      <c r="E127" s="45">
        <v>221.26</v>
      </c>
      <c r="F127" s="39">
        <f t="shared" si="11"/>
        <v>33.370000000000005</v>
      </c>
      <c r="G127" s="44">
        <f t="shared" si="14"/>
        <v>0.1310529002866905</v>
      </c>
    </row>
    <row r="128" spans="1:7" x14ac:dyDescent="0.25">
      <c r="A128" s="26"/>
      <c r="B128" s="28" t="s">
        <v>7</v>
      </c>
      <c r="C128" s="29">
        <v>2002</v>
      </c>
      <c r="D128" s="45">
        <v>256.54000000000002</v>
      </c>
      <c r="E128" s="45">
        <v>221.26</v>
      </c>
      <c r="F128" s="39">
        <f t="shared" si="11"/>
        <v>35.28000000000003</v>
      </c>
      <c r="G128" s="44">
        <f t="shared" si="14"/>
        <v>0.13752241365868881</v>
      </c>
    </row>
    <row r="129" spans="1:7" x14ac:dyDescent="0.25">
      <c r="A129" s="26"/>
      <c r="B129" s="28" t="s">
        <v>9</v>
      </c>
      <c r="C129" s="29">
        <v>2002</v>
      </c>
      <c r="D129" s="45">
        <v>257.13</v>
      </c>
      <c r="E129" s="45">
        <v>221.26</v>
      </c>
      <c r="F129" s="39">
        <f t="shared" si="11"/>
        <v>35.870000000000005</v>
      </c>
      <c r="G129" s="44">
        <f t="shared" si="14"/>
        <v>0.13950141951542022</v>
      </c>
    </row>
    <row r="130" spans="1:7" x14ac:dyDescent="0.25">
      <c r="A130" s="26"/>
      <c r="B130" s="28" t="s">
        <v>11</v>
      </c>
      <c r="C130" s="29">
        <v>2002</v>
      </c>
      <c r="D130" s="45">
        <v>261.58999999999997</v>
      </c>
      <c r="E130" s="45">
        <v>221.26</v>
      </c>
      <c r="F130" s="39">
        <f t="shared" si="11"/>
        <v>40.329999999999984</v>
      </c>
      <c r="G130" s="44">
        <f t="shared" si="14"/>
        <v>0.15417256011315414</v>
      </c>
    </row>
    <row r="131" spans="1:7" x14ac:dyDescent="0.25">
      <c r="A131" s="26"/>
      <c r="B131" s="28" t="s">
        <v>3</v>
      </c>
      <c r="C131" s="29">
        <v>2002</v>
      </c>
      <c r="D131" s="45">
        <v>266.29000000000002</v>
      </c>
      <c r="E131" s="45">
        <v>221.26</v>
      </c>
      <c r="F131" s="39">
        <f t="shared" si="11"/>
        <v>45.03000000000003</v>
      </c>
      <c r="G131" s="44">
        <f t="shared" si="14"/>
        <v>0.16910135566487675</v>
      </c>
    </row>
    <row r="132" spans="1:7" x14ac:dyDescent="0.25">
      <c r="A132" s="26"/>
      <c r="B132" s="28" t="s">
        <v>12</v>
      </c>
      <c r="C132" s="29">
        <v>2002</v>
      </c>
      <c r="D132" s="45">
        <v>268.04000000000002</v>
      </c>
      <c r="E132" s="45">
        <v>221.26</v>
      </c>
      <c r="F132" s="39">
        <f t="shared" si="11"/>
        <v>46.78000000000003</v>
      </c>
      <c r="G132" s="44">
        <f t="shared" si="14"/>
        <v>0.17452619012087758</v>
      </c>
    </row>
    <row r="133" spans="1:7" x14ac:dyDescent="0.25">
      <c r="A133" s="6" t="s">
        <v>27</v>
      </c>
      <c r="B133" s="17" t="s">
        <v>5</v>
      </c>
      <c r="C133" s="18">
        <v>2003</v>
      </c>
      <c r="D133" s="46">
        <v>275.86</v>
      </c>
      <c r="E133" s="46">
        <v>253.17</v>
      </c>
      <c r="F133" s="41">
        <f t="shared" si="11"/>
        <v>22.690000000000026</v>
      </c>
      <c r="G133" s="43">
        <f t="shared" si="14"/>
        <v>8.2251866889001754E-2</v>
      </c>
    </row>
    <row r="134" spans="1:7" x14ac:dyDescent="0.25">
      <c r="A134" s="6"/>
      <c r="B134" s="17" t="s">
        <v>17</v>
      </c>
      <c r="C134" s="18">
        <v>2003</v>
      </c>
      <c r="D134" s="46">
        <v>253.1</v>
      </c>
      <c r="E134" s="46">
        <v>253.17</v>
      </c>
      <c r="F134" s="41">
        <f t="shared" si="11"/>
        <v>-6.9999999999993179E-2</v>
      </c>
      <c r="G134" s="43">
        <f t="shared" si="14"/>
        <v>-2.7657052548397146E-4</v>
      </c>
    </row>
    <row r="135" spans="1:7" x14ac:dyDescent="0.25">
      <c r="A135" s="6"/>
      <c r="B135" s="17" t="s">
        <v>6</v>
      </c>
      <c r="C135" s="18">
        <v>2003</v>
      </c>
      <c r="D135" s="46">
        <v>254.39</v>
      </c>
      <c r="E135" s="46">
        <v>253.17</v>
      </c>
      <c r="F135" s="41">
        <f t="shared" si="11"/>
        <v>1.2199999999999989</v>
      </c>
      <c r="G135" s="43">
        <f t="shared" si="14"/>
        <v>4.7957859978772707E-3</v>
      </c>
    </row>
    <row r="136" spans="1:7" x14ac:dyDescent="0.25">
      <c r="A136" s="6"/>
      <c r="B136" s="17" t="s">
        <v>16</v>
      </c>
      <c r="C136" s="18">
        <v>2003</v>
      </c>
      <c r="D136" s="46">
        <v>256.61</v>
      </c>
      <c r="E136" s="46">
        <v>253.17</v>
      </c>
      <c r="F136" s="41">
        <f t="shared" si="11"/>
        <v>3.4400000000000261</v>
      </c>
      <c r="G136" s="43">
        <f t="shared" si="14"/>
        <v>1.340555707104176E-2</v>
      </c>
    </row>
    <row r="137" spans="1:7" x14ac:dyDescent="0.25">
      <c r="A137" s="6"/>
      <c r="B137" s="17" t="s">
        <v>10</v>
      </c>
      <c r="C137" s="18">
        <v>2003</v>
      </c>
      <c r="D137" s="46">
        <v>257.14999999999998</v>
      </c>
      <c r="E137" s="46">
        <v>253.17</v>
      </c>
      <c r="F137" s="41">
        <f t="shared" si="11"/>
        <v>3.9799999999999898</v>
      </c>
      <c r="G137" s="43">
        <f t="shared" si="14"/>
        <v>1.5477347851448532E-2</v>
      </c>
    </row>
    <row r="138" spans="1:7" x14ac:dyDescent="0.25">
      <c r="A138" s="6"/>
      <c r="B138" s="17" t="s">
        <v>8</v>
      </c>
      <c r="C138" s="18">
        <v>2003</v>
      </c>
      <c r="D138" s="46">
        <v>257.93</v>
      </c>
      <c r="E138" s="46">
        <v>253.17</v>
      </c>
      <c r="F138" s="41">
        <f t="shared" si="11"/>
        <v>4.7600000000000193</v>
      </c>
      <c r="G138" s="43">
        <f t="shared" si="14"/>
        <v>1.845461947039902E-2</v>
      </c>
    </row>
    <row r="139" spans="1:7" x14ac:dyDescent="0.25">
      <c r="A139" s="6"/>
      <c r="B139" s="17" t="s">
        <v>4</v>
      </c>
      <c r="C139" s="18">
        <v>2003</v>
      </c>
      <c r="D139" s="46">
        <v>258.58</v>
      </c>
      <c r="E139" s="46">
        <v>253.17</v>
      </c>
      <c r="F139" s="41">
        <f t="shared" si="11"/>
        <v>5.4099999999999966</v>
      </c>
      <c r="G139" s="43">
        <f t="shared" si="14"/>
        <v>2.0921958388119718E-2</v>
      </c>
    </row>
    <row r="140" spans="1:7" x14ac:dyDescent="0.25">
      <c r="A140" s="6"/>
      <c r="B140" s="17" t="s">
        <v>7</v>
      </c>
      <c r="C140" s="18">
        <v>2003</v>
      </c>
      <c r="D140" s="46">
        <v>260.87</v>
      </c>
      <c r="E140" s="46">
        <v>253.17</v>
      </c>
      <c r="F140" s="41">
        <f t="shared" ref="F140:F203" si="15">+D140-E140</f>
        <v>7.7000000000000171</v>
      </c>
      <c r="G140" s="43">
        <f t="shared" si="14"/>
        <v>2.9516617472304277E-2</v>
      </c>
    </row>
    <row r="141" spans="1:7" x14ac:dyDescent="0.25">
      <c r="A141" s="6"/>
      <c r="B141" s="17" t="s">
        <v>9</v>
      </c>
      <c r="C141" s="18">
        <v>2003</v>
      </c>
      <c r="D141" s="46">
        <v>262.66000000000003</v>
      </c>
      <c r="E141" s="46">
        <v>253.17</v>
      </c>
      <c r="F141" s="41">
        <f t="shared" si="15"/>
        <v>9.4900000000000375</v>
      </c>
      <c r="G141" s="43">
        <f t="shared" si="14"/>
        <v>3.6130358638544267E-2</v>
      </c>
    </row>
    <row r="142" spans="1:7" x14ac:dyDescent="0.25">
      <c r="A142" s="6"/>
      <c r="B142" s="17" t="s">
        <v>11</v>
      </c>
      <c r="C142" s="18">
        <v>2003</v>
      </c>
      <c r="D142" s="46">
        <v>263.77999999999997</v>
      </c>
      <c r="E142" s="46">
        <v>253.17</v>
      </c>
      <c r="F142" s="41">
        <f t="shared" si="15"/>
        <v>10.609999999999985</v>
      </c>
      <c r="G142" s="43">
        <f t="shared" si="14"/>
        <v>4.0222913033588548E-2</v>
      </c>
    </row>
    <row r="143" spans="1:7" x14ac:dyDescent="0.25">
      <c r="A143" s="6"/>
      <c r="B143" s="17" t="s">
        <v>3</v>
      </c>
      <c r="C143" s="18">
        <v>2003</v>
      </c>
      <c r="D143" s="46">
        <v>264.54000000000002</v>
      </c>
      <c r="E143" s="46">
        <v>253.17</v>
      </c>
      <c r="F143" s="41">
        <f t="shared" si="15"/>
        <v>11.370000000000033</v>
      </c>
      <c r="G143" s="43">
        <f t="shared" si="14"/>
        <v>4.2980267634384332E-2</v>
      </c>
    </row>
    <row r="144" spans="1:7" x14ac:dyDescent="0.25">
      <c r="A144" s="6"/>
      <c r="B144" s="17" t="s">
        <v>12</v>
      </c>
      <c r="C144" s="18">
        <v>2003</v>
      </c>
      <c r="D144" s="46">
        <v>264.7</v>
      </c>
      <c r="E144" s="46">
        <v>253.17</v>
      </c>
      <c r="F144" s="41">
        <f t="shared" si="15"/>
        <v>11.530000000000001</v>
      </c>
      <c r="G144" s="43">
        <f t="shared" si="14"/>
        <v>4.3558745749905557E-2</v>
      </c>
    </row>
    <row r="145" spans="1:7" x14ac:dyDescent="0.25">
      <c r="A145" s="6"/>
      <c r="B145" s="17" t="s">
        <v>13</v>
      </c>
      <c r="C145" s="18">
        <v>2004</v>
      </c>
      <c r="D145" s="46">
        <v>267.2</v>
      </c>
      <c r="E145" s="46">
        <v>265.95</v>
      </c>
      <c r="F145" s="41">
        <f t="shared" si="15"/>
        <v>1.25</v>
      </c>
      <c r="G145" s="43">
        <f t="shared" si="14"/>
        <v>4.6781437125748507E-3</v>
      </c>
    </row>
    <row r="146" spans="1:7" x14ac:dyDescent="0.25">
      <c r="A146" s="6"/>
      <c r="B146" s="17" t="s">
        <v>17</v>
      </c>
      <c r="C146" s="18">
        <v>2004</v>
      </c>
      <c r="D146" s="46">
        <v>269.14999999999998</v>
      </c>
      <c r="E146" s="46">
        <v>265.95</v>
      </c>
      <c r="F146" s="41">
        <f t="shared" si="15"/>
        <v>3.1999999999999886</v>
      </c>
      <c r="G146" s="43">
        <f t="shared" si="14"/>
        <v>1.1889281070035255E-2</v>
      </c>
    </row>
    <row r="147" spans="1:7" x14ac:dyDescent="0.25">
      <c r="A147" s="6"/>
      <c r="B147" s="17" t="s">
        <v>6</v>
      </c>
      <c r="C147" s="18">
        <v>2004</v>
      </c>
      <c r="D147" s="46">
        <v>270.14</v>
      </c>
      <c r="E147" s="46">
        <v>265.95</v>
      </c>
      <c r="F147" s="41">
        <f t="shared" si="15"/>
        <v>4.1899999999999977</v>
      </c>
      <c r="G147" s="43">
        <f t="shared" si="14"/>
        <v>1.5510476049455831E-2</v>
      </c>
    </row>
    <row r="148" spans="1:7" x14ac:dyDescent="0.25">
      <c r="A148" s="6"/>
      <c r="B148" s="17" t="s">
        <v>16</v>
      </c>
      <c r="C148" s="18">
        <v>2004</v>
      </c>
      <c r="D148" s="46">
        <v>271.70999999999998</v>
      </c>
      <c r="E148" s="46">
        <v>265.95</v>
      </c>
      <c r="F148" s="41">
        <f t="shared" si="15"/>
        <v>5.7599999999999909</v>
      </c>
      <c r="G148" s="43">
        <f t="shared" si="14"/>
        <v>2.1199072540576319E-2</v>
      </c>
    </row>
    <row r="149" spans="1:7" x14ac:dyDescent="0.25">
      <c r="A149" s="6"/>
      <c r="B149" s="17" t="s">
        <v>10</v>
      </c>
      <c r="C149" s="18">
        <v>2004</v>
      </c>
      <c r="D149" s="46">
        <v>271.42</v>
      </c>
      <c r="E149" s="46">
        <v>265.95</v>
      </c>
      <c r="F149" s="41">
        <f t="shared" si="15"/>
        <v>5.4700000000000273</v>
      </c>
      <c r="G149" s="43">
        <f t="shared" si="14"/>
        <v>2.0153267997936878E-2</v>
      </c>
    </row>
    <row r="150" spans="1:7" x14ac:dyDescent="0.25">
      <c r="A150" s="6"/>
      <c r="B150" s="17" t="s">
        <v>8</v>
      </c>
      <c r="C150" s="18">
        <v>2004</v>
      </c>
      <c r="D150" s="46">
        <v>271.02999999999997</v>
      </c>
      <c r="E150" s="46">
        <v>265.95</v>
      </c>
      <c r="F150" s="41">
        <f t="shared" si="15"/>
        <v>5.0799999999999841</v>
      </c>
      <c r="G150" s="43">
        <f t="shared" si="14"/>
        <v>1.8743312548426316E-2</v>
      </c>
    </row>
    <row r="151" spans="1:7" x14ac:dyDescent="0.25">
      <c r="A151" s="6"/>
      <c r="B151" s="17" t="s">
        <v>4</v>
      </c>
      <c r="C151" s="18">
        <v>2004</v>
      </c>
      <c r="D151" s="46">
        <v>269.42</v>
      </c>
      <c r="E151" s="46">
        <v>265.95</v>
      </c>
      <c r="F151" s="41">
        <f t="shared" si="15"/>
        <v>3.4700000000000273</v>
      </c>
      <c r="G151" s="43">
        <f t="shared" si="14"/>
        <v>1.2879518966669242E-2</v>
      </c>
    </row>
    <row r="152" spans="1:7" x14ac:dyDescent="0.25">
      <c r="A152" s="6"/>
      <c r="B152" s="17" t="s">
        <v>7</v>
      </c>
      <c r="C152" s="18">
        <v>2004</v>
      </c>
      <c r="D152" s="46">
        <v>269.49</v>
      </c>
      <c r="E152" s="46">
        <v>265.95</v>
      </c>
      <c r="F152" s="41">
        <f t="shared" si="15"/>
        <v>3.5400000000000205</v>
      </c>
      <c r="G152" s="43">
        <f t="shared" si="14"/>
        <v>1.3135923410887308E-2</v>
      </c>
    </row>
    <row r="153" spans="1:7" x14ac:dyDescent="0.25">
      <c r="A153" s="6"/>
      <c r="B153" s="17" t="s">
        <v>9</v>
      </c>
      <c r="C153" s="18">
        <v>2004</v>
      </c>
      <c r="D153" s="46">
        <v>270.20999999999998</v>
      </c>
      <c r="E153" s="46">
        <v>265.95</v>
      </c>
      <c r="F153" s="41">
        <f t="shared" si="15"/>
        <v>4.2599999999999909</v>
      </c>
      <c r="G153" s="43">
        <f t="shared" si="14"/>
        <v>1.57655157100033E-2</v>
      </c>
    </row>
    <row r="154" spans="1:7" x14ac:dyDescent="0.25">
      <c r="A154" s="6"/>
      <c r="B154" s="17" t="s">
        <v>11</v>
      </c>
      <c r="C154" s="18">
        <v>2004</v>
      </c>
      <c r="D154" s="46">
        <v>271.16000000000003</v>
      </c>
      <c r="E154" s="46">
        <v>265.95</v>
      </c>
      <c r="F154" s="41">
        <f t="shared" si="15"/>
        <v>5.2100000000000364</v>
      </c>
      <c r="G154" s="43">
        <f t="shared" si="14"/>
        <v>1.9213748340463327E-2</v>
      </c>
    </row>
    <row r="155" spans="1:7" x14ac:dyDescent="0.25">
      <c r="A155" s="6"/>
      <c r="B155" s="17" t="s">
        <v>3</v>
      </c>
      <c r="C155" s="18">
        <v>2004</v>
      </c>
      <c r="D155" s="46">
        <v>272.54000000000002</v>
      </c>
      <c r="E155" s="46">
        <v>265.95</v>
      </c>
      <c r="F155" s="41">
        <f t="shared" si="15"/>
        <v>6.5900000000000318</v>
      </c>
      <c r="G155" s="43">
        <f t="shared" si="14"/>
        <v>2.4179936889997915E-2</v>
      </c>
    </row>
    <row r="156" spans="1:7" x14ac:dyDescent="0.25">
      <c r="A156" s="6"/>
      <c r="B156" s="17" t="s">
        <v>12</v>
      </c>
      <c r="C156" s="18">
        <v>2004</v>
      </c>
      <c r="D156" s="46">
        <v>273.48</v>
      </c>
      <c r="E156" s="46">
        <v>265.95</v>
      </c>
      <c r="F156" s="41">
        <f t="shared" si="15"/>
        <v>7.5300000000000296</v>
      </c>
      <c r="G156" s="43">
        <f t="shared" si="14"/>
        <v>2.7534006143045301E-2</v>
      </c>
    </row>
    <row r="157" spans="1:7" x14ac:dyDescent="0.25">
      <c r="A157" s="6"/>
      <c r="B157" s="17" t="s">
        <v>5</v>
      </c>
      <c r="C157" s="18">
        <v>2005</v>
      </c>
      <c r="D157" s="46">
        <v>278.72000000000003</v>
      </c>
      <c r="E157" s="46">
        <v>265.95</v>
      </c>
      <c r="F157" s="41">
        <f t="shared" si="15"/>
        <v>12.770000000000039</v>
      </c>
      <c r="G157" s="43">
        <f t="shared" si="14"/>
        <v>4.5816590126291752E-2</v>
      </c>
    </row>
    <row r="158" spans="1:7" x14ac:dyDescent="0.25">
      <c r="A158" s="6"/>
      <c r="B158" s="17" t="s">
        <v>17</v>
      </c>
      <c r="C158" s="18">
        <v>2005</v>
      </c>
      <c r="D158" s="46">
        <v>280.89</v>
      </c>
      <c r="E158" s="46">
        <v>268.08999999999997</v>
      </c>
      <c r="F158" s="41">
        <f t="shared" si="15"/>
        <v>12.800000000000011</v>
      </c>
      <c r="G158" s="43">
        <f t="shared" si="14"/>
        <v>4.5569439994303865E-2</v>
      </c>
    </row>
    <row r="159" spans="1:7" x14ac:dyDescent="0.25">
      <c r="A159" s="6"/>
      <c r="B159" s="17" t="s">
        <v>6</v>
      </c>
      <c r="C159" s="18">
        <v>2005</v>
      </c>
      <c r="D159" s="46">
        <v>282.31291534582618</v>
      </c>
      <c r="E159" s="46">
        <v>280</v>
      </c>
      <c r="F159" s="41">
        <f t="shared" si="15"/>
        <v>2.312915345826184</v>
      </c>
      <c r="G159" s="43">
        <f t="shared" si="14"/>
        <v>8.1927365703156774E-3</v>
      </c>
    </row>
    <row r="160" spans="1:7" x14ac:dyDescent="0.25">
      <c r="A160" s="6"/>
      <c r="B160" s="17" t="s">
        <v>16</v>
      </c>
      <c r="C160" s="18">
        <v>2005</v>
      </c>
      <c r="D160" s="46">
        <v>285.11215856683498</v>
      </c>
      <c r="E160" s="46">
        <v>280</v>
      </c>
      <c r="F160" s="41">
        <f t="shared" si="15"/>
        <v>5.112158566834978</v>
      </c>
      <c r="G160" s="43">
        <f t="shared" si="14"/>
        <v>1.793034219421619E-2</v>
      </c>
    </row>
    <row r="161" spans="1:7" x14ac:dyDescent="0.25">
      <c r="A161" s="26" t="s">
        <v>28</v>
      </c>
      <c r="B161" s="28" t="s">
        <v>10</v>
      </c>
      <c r="C161" s="29">
        <v>2005</v>
      </c>
      <c r="D161" s="45">
        <v>285.35215136886734</v>
      </c>
      <c r="E161" s="45">
        <v>280</v>
      </c>
      <c r="F161" s="39">
        <f t="shared" si="15"/>
        <v>5.3521513688673394</v>
      </c>
      <c r="G161" s="44">
        <f t="shared" si="14"/>
        <v>1.8756302846123462E-2</v>
      </c>
    </row>
    <row r="162" spans="1:7" x14ac:dyDescent="0.25">
      <c r="A162" s="26"/>
      <c r="B162" s="28" t="s">
        <v>8</v>
      </c>
      <c r="C162" s="29">
        <v>2005</v>
      </c>
      <c r="D162" s="45">
        <v>284.90904514406265</v>
      </c>
      <c r="E162" s="45">
        <v>280</v>
      </c>
      <c r="F162" s="39">
        <f t="shared" si="15"/>
        <v>4.9090451440626452</v>
      </c>
      <c r="G162" s="44">
        <f t="shared" si="14"/>
        <v>1.7230218653045623E-2</v>
      </c>
    </row>
    <row r="163" spans="1:7" x14ac:dyDescent="0.25">
      <c r="A163" s="26"/>
      <c r="B163" s="28" t="s">
        <v>4</v>
      </c>
      <c r="C163" s="29">
        <v>2005</v>
      </c>
      <c r="D163" s="45">
        <v>284.94670823817302</v>
      </c>
      <c r="E163" s="45">
        <v>280</v>
      </c>
      <c r="F163" s="39">
        <f t="shared" si="15"/>
        <v>4.9467082381730165</v>
      </c>
      <c r="G163" s="44">
        <f t="shared" si="14"/>
        <v>1.736011715579569E-2</v>
      </c>
    </row>
    <row r="164" spans="1:7" x14ac:dyDescent="0.25">
      <c r="A164" s="26"/>
      <c r="B164" s="28" t="s">
        <v>7</v>
      </c>
      <c r="C164" s="29">
        <v>2005</v>
      </c>
      <c r="D164" s="45">
        <v>284.90904514406265</v>
      </c>
      <c r="E164" s="45">
        <v>280</v>
      </c>
      <c r="F164" s="39">
        <f t="shared" si="15"/>
        <v>4.9090451440626452</v>
      </c>
      <c r="G164" s="44">
        <f t="shared" si="14"/>
        <v>1.7230218653045623E-2</v>
      </c>
    </row>
    <row r="165" spans="1:7" x14ac:dyDescent="0.25">
      <c r="A165" s="26"/>
      <c r="B165" s="28" t="s">
        <v>9</v>
      </c>
      <c r="C165" s="29">
        <v>2005</v>
      </c>
      <c r="D165" s="45">
        <v>286.42</v>
      </c>
      <c r="E165" s="45">
        <v>280</v>
      </c>
      <c r="F165" s="39">
        <f t="shared" si="15"/>
        <v>6.4200000000000159</v>
      </c>
      <c r="G165" s="44">
        <f t="shared" si="14"/>
        <v>2.2414635849451907E-2</v>
      </c>
    </row>
    <row r="166" spans="1:7" x14ac:dyDescent="0.25">
      <c r="A166" s="26"/>
      <c r="B166" s="28" t="s">
        <v>11</v>
      </c>
      <c r="C166" s="29">
        <v>2005</v>
      </c>
      <c r="D166" s="45">
        <v>291.86</v>
      </c>
      <c r="E166" s="45">
        <v>280</v>
      </c>
      <c r="F166" s="39">
        <f t="shared" si="15"/>
        <v>11.860000000000014</v>
      </c>
      <c r="G166" s="44">
        <f t="shared" si="14"/>
        <v>4.0635921332145594E-2</v>
      </c>
    </row>
    <row r="167" spans="1:7" x14ac:dyDescent="0.25">
      <c r="A167" s="26"/>
      <c r="B167" s="28" t="s">
        <v>3</v>
      </c>
      <c r="C167" s="29">
        <v>2005</v>
      </c>
      <c r="D167" s="45">
        <v>295.16000000000003</v>
      </c>
      <c r="E167" s="45">
        <v>280</v>
      </c>
      <c r="F167" s="39">
        <f t="shared" si="15"/>
        <v>15.160000000000025</v>
      </c>
      <c r="G167" s="44">
        <f t="shared" si="14"/>
        <v>5.1361973167095891E-2</v>
      </c>
    </row>
    <row r="168" spans="1:7" x14ac:dyDescent="0.25">
      <c r="A168" s="26"/>
      <c r="B168" s="28" t="s">
        <v>12</v>
      </c>
      <c r="C168" s="29">
        <v>2005</v>
      </c>
      <c r="D168" s="45">
        <v>296.58999999999997</v>
      </c>
      <c r="E168" s="45">
        <v>280</v>
      </c>
      <c r="F168" s="39">
        <f t="shared" si="15"/>
        <v>16.589999999999975</v>
      </c>
      <c r="G168" s="44">
        <f t="shared" si="14"/>
        <v>5.5935803634647077E-2</v>
      </c>
    </row>
    <row r="169" spans="1:7" x14ac:dyDescent="0.25">
      <c r="A169" s="26"/>
      <c r="B169" s="28" t="s">
        <v>5</v>
      </c>
      <c r="C169" s="29">
        <v>2006</v>
      </c>
      <c r="D169" s="45">
        <v>298.56</v>
      </c>
      <c r="E169" s="45">
        <v>298.67</v>
      </c>
      <c r="F169" s="39">
        <f t="shared" si="15"/>
        <v>-0.11000000000001364</v>
      </c>
      <c r="G169" s="44">
        <f t="shared" si="14"/>
        <v>-3.6843515541269304E-4</v>
      </c>
    </row>
    <row r="170" spans="1:7" x14ac:dyDescent="0.25">
      <c r="A170" s="26"/>
      <c r="B170" s="28" t="s">
        <v>17</v>
      </c>
      <c r="C170" s="29">
        <v>2006</v>
      </c>
      <c r="D170" s="45">
        <v>301.37</v>
      </c>
      <c r="E170" s="45">
        <v>298.67</v>
      </c>
      <c r="F170" s="39">
        <f t="shared" si="15"/>
        <v>2.6999999999999886</v>
      </c>
      <c r="G170" s="44">
        <f t="shared" si="14"/>
        <v>8.9590868367786722E-3</v>
      </c>
    </row>
    <row r="171" spans="1:7" x14ac:dyDescent="0.25">
      <c r="A171" s="26"/>
      <c r="B171" s="28" t="s">
        <v>6</v>
      </c>
      <c r="C171" s="29">
        <v>2006</v>
      </c>
      <c r="D171" s="45">
        <v>304.07</v>
      </c>
      <c r="E171" s="45">
        <v>298.67</v>
      </c>
      <c r="F171" s="39">
        <f t="shared" si="15"/>
        <v>5.3999999999999773</v>
      </c>
      <c r="G171" s="44">
        <f t="shared" si="14"/>
        <v>1.7759068635511487E-2</v>
      </c>
    </row>
    <row r="172" spans="1:7" x14ac:dyDescent="0.25">
      <c r="A172" s="26"/>
      <c r="B172" s="28" t="s">
        <v>16</v>
      </c>
      <c r="C172" s="29">
        <v>2006</v>
      </c>
      <c r="D172" s="45">
        <v>303.06</v>
      </c>
      <c r="E172" s="45">
        <v>298.67</v>
      </c>
      <c r="F172" s="39">
        <f t="shared" si="15"/>
        <v>4.3899999999999864</v>
      </c>
      <c r="G172" s="44">
        <f t="shared" si="14"/>
        <v>1.4485580413119469E-2</v>
      </c>
    </row>
    <row r="173" spans="1:7" x14ac:dyDescent="0.25">
      <c r="A173" s="26"/>
      <c r="B173" s="28" t="s">
        <v>10</v>
      </c>
      <c r="C173" s="29">
        <v>2006</v>
      </c>
      <c r="D173" s="45">
        <v>302</v>
      </c>
      <c r="E173" s="45">
        <v>298.67</v>
      </c>
      <c r="F173" s="39">
        <f t="shared" si="15"/>
        <v>3.3299999999999841</v>
      </c>
      <c r="G173" s="44">
        <f t="shared" si="14"/>
        <v>1.1026490066225112E-2</v>
      </c>
    </row>
    <row r="174" spans="1:7" x14ac:dyDescent="0.25">
      <c r="A174" s="26"/>
      <c r="B174" s="28" t="s">
        <v>8</v>
      </c>
      <c r="C174" s="29">
        <v>2006</v>
      </c>
      <c r="D174" s="45">
        <v>300.45</v>
      </c>
      <c r="E174" s="45">
        <v>298.67</v>
      </c>
      <c r="F174" s="39">
        <f t="shared" si="15"/>
        <v>1.7799999999999727</v>
      </c>
      <c r="G174" s="44">
        <f t="shared" si="14"/>
        <v>5.9244466633382349E-3</v>
      </c>
    </row>
    <row r="175" spans="1:7" x14ac:dyDescent="0.25">
      <c r="A175" s="26"/>
      <c r="B175" s="28" t="s">
        <v>4</v>
      </c>
      <c r="C175" s="29">
        <v>2006</v>
      </c>
      <c r="D175" s="45">
        <v>300.51</v>
      </c>
      <c r="E175" s="45">
        <v>298.67</v>
      </c>
      <c r="F175" s="39">
        <f t="shared" si="15"/>
        <v>1.839999999999975</v>
      </c>
      <c r="G175" s="44">
        <f t="shared" ref="G175:G207" si="16">+F175/D175</f>
        <v>6.1229243619179896E-3</v>
      </c>
    </row>
    <row r="176" spans="1:7" x14ac:dyDescent="0.25">
      <c r="A176" s="26"/>
      <c r="B176" s="28" t="s">
        <v>7</v>
      </c>
      <c r="C176" s="29">
        <v>2006</v>
      </c>
      <c r="D176" s="45">
        <v>302.11</v>
      </c>
      <c r="E176" s="45">
        <v>298.67</v>
      </c>
      <c r="F176" s="39">
        <f t="shared" si="15"/>
        <v>3.4399999999999977</v>
      </c>
      <c r="G176" s="44">
        <f t="shared" si="16"/>
        <v>1.1386581046638634E-2</v>
      </c>
    </row>
    <row r="177" spans="1:7" x14ac:dyDescent="0.25">
      <c r="A177" s="26"/>
      <c r="B177" s="28" t="s">
        <v>9</v>
      </c>
      <c r="C177" s="29">
        <v>2006</v>
      </c>
      <c r="D177" s="45">
        <v>304.52999999999997</v>
      </c>
      <c r="E177" s="45">
        <v>298.67</v>
      </c>
      <c r="F177" s="39">
        <f t="shared" si="15"/>
        <v>5.8599999999999568</v>
      </c>
      <c r="G177" s="44">
        <f t="shared" si="16"/>
        <v>1.9242767543427436E-2</v>
      </c>
    </row>
    <row r="178" spans="1:7" x14ac:dyDescent="0.25">
      <c r="A178" s="26"/>
      <c r="B178" s="28" t="s">
        <v>11</v>
      </c>
      <c r="C178" s="29">
        <v>2006</v>
      </c>
      <c r="D178" s="45">
        <v>306.51</v>
      </c>
      <c r="E178" s="45">
        <v>298.67</v>
      </c>
      <c r="F178" s="39">
        <f t="shared" si="15"/>
        <v>7.839999999999975</v>
      </c>
      <c r="G178" s="44">
        <f t="shared" si="16"/>
        <v>2.5578284558415633E-2</v>
      </c>
    </row>
    <row r="179" spans="1:7" x14ac:dyDescent="0.25">
      <c r="A179" s="26"/>
      <c r="B179" s="28" t="s">
        <v>3</v>
      </c>
      <c r="C179" s="29">
        <v>2006</v>
      </c>
      <c r="D179" s="45">
        <v>307.11</v>
      </c>
      <c r="E179" s="45">
        <v>298.67</v>
      </c>
      <c r="F179" s="39">
        <f t="shared" si="15"/>
        <v>8.4399999999999977</v>
      </c>
      <c r="G179" s="44">
        <f t="shared" si="16"/>
        <v>2.7482009703363609E-2</v>
      </c>
    </row>
    <row r="180" spans="1:7" x14ac:dyDescent="0.25">
      <c r="A180" s="26"/>
      <c r="B180" s="28" t="s">
        <v>12</v>
      </c>
      <c r="C180" s="29">
        <v>2006</v>
      </c>
      <c r="D180" s="45">
        <v>306.56</v>
      </c>
      <c r="E180" s="45">
        <v>298.67</v>
      </c>
      <c r="F180" s="39">
        <f t="shared" si="15"/>
        <v>7.8899999999999864</v>
      </c>
      <c r="G180" s="44">
        <f t="shared" si="16"/>
        <v>2.5737212943632522E-2</v>
      </c>
    </row>
    <row r="181" spans="1:7" x14ac:dyDescent="0.25">
      <c r="A181" s="6" t="s">
        <v>29</v>
      </c>
      <c r="B181" s="17" t="s">
        <v>30</v>
      </c>
      <c r="C181" s="18">
        <v>2007</v>
      </c>
      <c r="D181" s="46">
        <v>317.33999999999997</v>
      </c>
      <c r="E181" s="46">
        <v>317.33999999999997</v>
      </c>
      <c r="F181" s="41">
        <f t="shared" si="15"/>
        <v>0</v>
      </c>
      <c r="G181" s="43">
        <f t="shared" si="16"/>
        <v>0</v>
      </c>
    </row>
    <row r="182" spans="1:7" x14ac:dyDescent="0.25">
      <c r="A182" s="6"/>
      <c r="B182" s="17" t="s">
        <v>17</v>
      </c>
      <c r="C182" s="18">
        <v>2007</v>
      </c>
      <c r="D182" s="46">
        <v>316.01</v>
      </c>
      <c r="E182" s="46">
        <v>317.33999999999997</v>
      </c>
      <c r="F182" s="41">
        <f t="shared" si="15"/>
        <v>-1.3299999999999841</v>
      </c>
      <c r="G182" s="43">
        <f t="shared" si="16"/>
        <v>-4.2087275719122309E-3</v>
      </c>
    </row>
    <row r="183" spans="1:7" x14ac:dyDescent="0.25">
      <c r="A183" s="6"/>
      <c r="B183" s="17" t="s">
        <v>6</v>
      </c>
      <c r="C183" s="18">
        <v>2007</v>
      </c>
      <c r="D183" s="46">
        <v>316.27999999999997</v>
      </c>
      <c r="E183" s="46">
        <v>317.33999999999997</v>
      </c>
      <c r="F183" s="41">
        <f t="shared" si="15"/>
        <v>-1.0600000000000023</v>
      </c>
      <c r="G183" s="43">
        <f t="shared" si="16"/>
        <v>-3.3514607309978574E-3</v>
      </c>
    </row>
    <row r="184" spans="1:7" x14ac:dyDescent="0.25">
      <c r="A184" s="6"/>
      <c r="B184" s="17" t="s">
        <v>16</v>
      </c>
      <c r="C184" s="18">
        <v>2007</v>
      </c>
      <c r="D184" s="46">
        <v>317.19</v>
      </c>
      <c r="E184" s="46">
        <v>317.33999999999997</v>
      </c>
      <c r="F184" s="41">
        <f t="shared" si="15"/>
        <v>-0.14999999999997726</v>
      </c>
      <c r="G184" s="43">
        <f t="shared" si="16"/>
        <v>-4.7290267662907805E-4</v>
      </c>
    </row>
    <row r="185" spans="1:7" x14ac:dyDescent="0.25">
      <c r="A185" s="6"/>
      <c r="B185" s="17" t="s">
        <v>10</v>
      </c>
      <c r="C185" s="18">
        <v>2007</v>
      </c>
      <c r="D185" s="46">
        <v>317.06</v>
      </c>
      <c r="E185" s="46">
        <v>317.33999999999997</v>
      </c>
      <c r="F185" s="41">
        <f t="shared" si="15"/>
        <v>-0.27999999999997272</v>
      </c>
      <c r="G185" s="43">
        <f t="shared" si="16"/>
        <v>-8.8311360625740467E-4</v>
      </c>
    </row>
    <row r="186" spans="1:7" x14ac:dyDescent="0.25">
      <c r="A186" s="6"/>
      <c r="B186" s="17" t="s">
        <v>8</v>
      </c>
      <c r="C186" s="18">
        <v>2007</v>
      </c>
      <c r="D186" s="46">
        <v>319.04000000000002</v>
      </c>
      <c r="E186" s="46">
        <v>317.33999999999997</v>
      </c>
      <c r="F186" s="41">
        <f t="shared" si="15"/>
        <v>1.7000000000000455</v>
      </c>
      <c r="G186" s="43">
        <f t="shared" si="16"/>
        <v>5.3284854563692497E-3</v>
      </c>
    </row>
    <row r="187" spans="1:7" x14ac:dyDescent="0.25">
      <c r="A187" s="6"/>
      <c r="B187" s="17" t="s">
        <v>4</v>
      </c>
      <c r="C187" s="18">
        <v>2007</v>
      </c>
      <c r="D187" s="46">
        <v>321.37</v>
      </c>
      <c r="E187" s="46">
        <v>317.33999999999997</v>
      </c>
      <c r="F187" s="41">
        <f t="shared" si="15"/>
        <v>4.0300000000000296</v>
      </c>
      <c r="G187" s="43">
        <f t="shared" si="16"/>
        <v>1.2540062855898277E-2</v>
      </c>
    </row>
    <row r="188" spans="1:7" x14ac:dyDescent="0.25">
      <c r="A188" s="6"/>
      <c r="B188" s="17" t="s">
        <v>7</v>
      </c>
      <c r="C188" s="18">
        <v>2007</v>
      </c>
      <c r="D188" s="46">
        <v>322.02999999999997</v>
      </c>
      <c r="E188" s="46">
        <v>317.33999999999997</v>
      </c>
      <c r="F188" s="41">
        <f t="shared" si="15"/>
        <v>4.6899999999999977</v>
      </c>
      <c r="G188" s="43">
        <f t="shared" si="16"/>
        <v>1.4563860509890378E-2</v>
      </c>
    </row>
    <row r="189" spans="1:7" x14ac:dyDescent="0.25">
      <c r="A189" s="6"/>
      <c r="B189" s="17" t="s">
        <v>9</v>
      </c>
      <c r="C189" s="18">
        <v>2007</v>
      </c>
      <c r="D189" s="46">
        <v>323.87</v>
      </c>
      <c r="E189" s="46">
        <v>317.33999999999997</v>
      </c>
      <c r="F189" s="41">
        <f t="shared" si="15"/>
        <v>6.5300000000000296</v>
      </c>
      <c r="G189" s="43">
        <f t="shared" si="16"/>
        <v>2.0162410843857195E-2</v>
      </c>
    </row>
    <row r="190" spans="1:7" x14ac:dyDescent="0.25">
      <c r="A190" s="6"/>
      <c r="B190" s="17" t="s">
        <v>11</v>
      </c>
      <c r="C190" s="18">
        <v>2007</v>
      </c>
      <c r="D190" s="46">
        <v>325.63</v>
      </c>
      <c r="E190" s="46">
        <v>317.33999999999997</v>
      </c>
      <c r="F190" s="41">
        <f t="shared" si="15"/>
        <v>8.2900000000000205</v>
      </c>
      <c r="G190" s="43">
        <f t="shared" si="16"/>
        <v>2.5458342290329578E-2</v>
      </c>
    </row>
    <row r="191" spans="1:7" x14ac:dyDescent="0.25">
      <c r="A191" s="6"/>
      <c r="B191" s="17" t="s">
        <v>3</v>
      </c>
      <c r="C191" s="18">
        <v>2007</v>
      </c>
      <c r="D191" s="46">
        <v>328.03</v>
      </c>
      <c r="E191" s="46">
        <v>317.33999999999997</v>
      </c>
      <c r="F191" s="41">
        <f t="shared" si="15"/>
        <v>10.689999999999998</v>
      </c>
      <c r="G191" s="43">
        <f t="shared" si="16"/>
        <v>3.2588482760723098E-2</v>
      </c>
    </row>
    <row r="192" spans="1:7" x14ac:dyDescent="0.25">
      <c r="A192" s="6"/>
      <c r="B192" s="17" t="s">
        <v>12</v>
      </c>
      <c r="C192" s="18">
        <v>2007</v>
      </c>
      <c r="D192" s="46">
        <v>330.39</v>
      </c>
      <c r="E192" s="46">
        <v>317.33999999999997</v>
      </c>
      <c r="F192" s="41">
        <f t="shared" si="15"/>
        <v>13.050000000000011</v>
      </c>
      <c r="G192" s="43">
        <f t="shared" si="16"/>
        <v>3.9498774175973882E-2</v>
      </c>
    </row>
    <row r="193" spans="1:7" x14ac:dyDescent="0.25">
      <c r="A193" s="6"/>
      <c r="B193" s="17" t="s">
        <v>13</v>
      </c>
      <c r="C193" s="18">
        <v>2008</v>
      </c>
      <c r="D193" s="17">
        <v>334.74</v>
      </c>
      <c r="E193" s="17">
        <v>373.34</v>
      </c>
      <c r="F193" s="46">
        <f t="shared" si="15"/>
        <v>-38.599999999999966</v>
      </c>
      <c r="G193" s="43">
        <f t="shared" si="16"/>
        <v>-0.1153133775467526</v>
      </c>
    </row>
    <row r="194" spans="1:7" x14ac:dyDescent="0.25">
      <c r="A194" s="6"/>
      <c r="B194" s="17" t="s">
        <v>17</v>
      </c>
      <c r="C194" s="18">
        <v>2008</v>
      </c>
      <c r="D194" s="17">
        <v>338.24</v>
      </c>
      <c r="E194" s="17">
        <v>373.34</v>
      </c>
      <c r="F194" s="46">
        <f t="shared" si="15"/>
        <v>-35.099999999999966</v>
      </c>
      <c r="G194" s="43">
        <f t="shared" si="16"/>
        <v>-0.1037724692526016</v>
      </c>
    </row>
    <row r="195" spans="1:7" x14ac:dyDescent="0.25">
      <c r="A195" s="6"/>
      <c r="B195" s="17" t="s">
        <v>6</v>
      </c>
      <c r="C195" s="18">
        <v>2008</v>
      </c>
      <c r="D195" s="17">
        <v>343.29</v>
      </c>
      <c r="E195" s="17">
        <v>373.34</v>
      </c>
      <c r="F195" s="46">
        <f t="shared" si="15"/>
        <v>-30.049999999999955</v>
      </c>
      <c r="G195" s="43">
        <f t="shared" si="16"/>
        <v>-8.7535319991843497E-2</v>
      </c>
    </row>
    <row r="196" spans="1:7" x14ac:dyDescent="0.25">
      <c r="A196" s="6"/>
      <c r="B196" s="17" t="s">
        <v>16</v>
      </c>
      <c r="C196" s="18">
        <v>2008</v>
      </c>
      <c r="D196" s="46">
        <v>349.7</v>
      </c>
      <c r="E196" s="17">
        <v>373.34</v>
      </c>
      <c r="F196" s="46">
        <f t="shared" si="15"/>
        <v>-23.639999999999986</v>
      </c>
      <c r="G196" s="43">
        <f t="shared" si="16"/>
        <v>-6.7600800686302503E-2</v>
      </c>
    </row>
    <row r="197" spans="1:7" x14ac:dyDescent="0.25">
      <c r="A197" s="6"/>
      <c r="B197" s="17" t="s">
        <v>10</v>
      </c>
      <c r="C197" s="18">
        <v>2008</v>
      </c>
      <c r="D197" s="46">
        <v>355.5</v>
      </c>
      <c r="E197" s="17">
        <v>373.34</v>
      </c>
      <c r="F197" s="46">
        <f t="shared" si="15"/>
        <v>-17.839999999999975</v>
      </c>
      <c r="G197" s="43">
        <f t="shared" si="16"/>
        <v>-5.0182841068916947E-2</v>
      </c>
    </row>
    <row r="198" spans="1:7" x14ac:dyDescent="0.25">
      <c r="A198" s="6"/>
      <c r="B198" s="17" t="s">
        <v>8</v>
      </c>
      <c r="C198" s="18">
        <v>2008</v>
      </c>
      <c r="D198" s="46">
        <v>358.81</v>
      </c>
      <c r="E198" s="17">
        <v>373.34</v>
      </c>
      <c r="F198" s="46">
        <f t="shared" si="15"/>
        <v>-14.529999999999973</v>
      </c>
      <c r="G198" s="20">
        <f t="shared" si="16"/>
        <v>-4.0494969482455817E-2</v>
      </c>
    </row>
    <row r="199" spans="1:7" x14ac:dyDescent="0.25">
      <c r="A199" s="6"/>
      <c r="B199" s="17" t="s">
        <v>4</v>
      </c>
      <c r="C199" s="18">
        <v>2008</v>
      </c>
      <c r="D199" s="46">
        <v>356.77</v>
      </c>
      <c r="E199" s="17">
        <v>373.34</v>
      </c>
      <c r="F199" s="46">
        <f t="shared" si="15"/>
        <v>-16.569999999999993</v>
      </c>
      <c r="G199" s="20">
        <f t="shared" si="16"/>
        <v>-4.6444488045519504E-2</v>
      </c>
    </row>
    <row r="200" spans="1:7" x14ac:dyDescent="0.25">
      <c r="A200" s="6"/>
      <c r="B200" s="17" t="s">
        <v>7</v>
      </c>
      <c r="C200" s="18">
        <v>2008</v>
      </c>
      <c r="D200" s="46">
        <v>357</v>
      </c>
      <c r="E200" s="17">
        <v>373.34</v>
      </c>
      <c r="F200" s="46">
        <f t="shared" si="15"/>
        <v>-16.339999999999975</v>
      </c>
      <c r="G200" s="20">
        <f t="shared" si="16"/>
        <v>-4.5770308123249233E-2</v>
      </c>
    </row>
    <row r="201" spans="1:7" x14ac:dyDescent="0.25">
      <c r="A201" s="6"/>
      <c r="B201" s="17" t="s">
        <v>9</v>
      </c>
      <c r="C201" s="18">
        <v>2008</v>
      </c>
      <c r="D201" s="46">
        <v>358.27</v>
      </c>
      <c r="E201" s="17">
        <v>373.34</v>
      </c>
      <c r="F201" s="46">
        <f t="shared" si="15"/>
        <v>-15.069999999999993</v>
      </c>
      <c r="G201" s="20">
        <f t="shared" si="16"/>
        <v>-4.2063248388087178E-2</v>
      </c>
    </row>
    <row r="202" spans="1:7" x14ac:dyDescent="0.25">
      <c r="A202" s="6"/>
      <c r="B202" s="17" t="s">
        <v>11</v>
      </c>
      <c r="C202" s="18">
        <v>2008</v>
      </c>
      <c r="D202" s="46">
        <v>356.41</v>
      </c>
      <c r="E202" s="17">
        <v>373.34</v>
      </c>
      <c r="F202" s="46">
        <f t="shared" si="15"/>
        <v>-16.92999999999995</v>
      </c>
      <c r="G202" s="20">
        <f t="shared" si="16"/>
        <v>-4.7501473022642321E-2</v>
      </c>
    </row>
    <row r="203" spans="1:7" x14ac:dyDescent="0.25">
      <c r="A203" s="6"/>
      <c r="B203" s="17" t="s">
        <v>3</v>
      </c>
      <c r="C203" s="18">
        <v>2008</v>
      </c>
      <c r="D203" s="46">
        <v>356.86</v>
      </c>
      <c r="E203" s="17">
        <v>373.34</v>
      </c>
      <c r="F203" s="46">
        <f t="shared" si="15"/>
        <v>-16.479999999999961</v>
      </c>
      <c r="G203" s="20">
        <f t="shared" si="16"/>
        <v>-4.6180575015412097E-2</v>
      </c>
    </row>
    <row r="204" spans="1:7" x14ac:dyDescent="0.25">
      <c r="A204" s="6"/>
      <c r="B204" s="17" t="s">
        <v>12</v>
      </c>
      <c r="C204" s="18">
        <v>2008</v>
      </c>
      <c r="D204" s="46">
        <v>358.83</v>
      </c>
      <c r="E204" s="17">
        <v>373.34</v>
      </c>
      <c r="F204" s="46">
        <f t="shared" ref="F204:F220" si="17">+D204-E204</f>
        <v>-14.509999999999991</v>
      </c>
      <c r="G204" s="20">
        <f t="shared" si="16"/>
        <v>-4.0436975726667199E-2</v>
      </c>
    </row>
    <row r="205" spans="1:7" x14ac:dyDescent="0.25">
      <c r="A205" s="6"/>
      <c r="B205" s="17" t="s">
        <v>5</v>
      </c>
      <c r="C205" s="18">
        <v>2009</v>
      </c>
      <c r="D205" s="46">
        <v>361.72</v>
      </c>
      <c r="E205" s="17">
        <v>406.93</v>
      </c>
      <c r="F205" s="46">
        <f t="shared" si="17"/>
        <v>-45.20999999999998</v>
      </c>
      <c r="G205" s="20">
        <f t="shared" si="16"/>
        <v>-0.1249861771535994</v>
      </c>
    </row>
    <row r="206" spans="1:7" x14ac:dyDescent="0.25">
      <c r="A206" s="6"/>
      <c r="B206" s="17" t="s">
        <v>17</v>
      </c>
      <c r="C206" s="18">
        <v>2009</v>
      </c>
      <c r="D206" s="46">
        <v>360.89</v>
      </c>
      <c r="E206" s="17">
        <v>406.93</v>
      </c>
      <c r="F206" s="46">
        <f t="shared" si="17"/>
        <v>-46.04000000000002</v>
      </c>
      <c r="G206" s="20">
        <f t="shared" si="16"/>
        <v>-0.12757349885006516</v>
      </c>
    </row>
    <row r="207" spans="1:7" x14ac:dyDescent="0.25">
      <c r="A207" s="6"/>
      <c r="B207" s="17" t="s">
        <v>6</v>
      </c>
      <c r="C207" s="18">
        <v>2009</v>
      </c>
      <c r="D207" s="46">
        <v>367.07</v>
      </c>
      <c r="E207" s="17">
        <v>406.93</v>
      </c>
      <c r="F207" s="46">
        <f t="shared" si="17"/>
        <v>-39.860000000000014</v>
      </c>
      <c r="G207" s="20">
        <f t="shared" si="16"/>
        <v>-0.10858964230255813</v>
      </c>
    </row>
    <row r="208" spans="1:7" x14ac:dyDescent="0.25">
      <c r="A208" s="6"/>
      <c r="B208" s="17" t="s">
        <v>16</v>
      </c>
      <c r="C208" s="18">
        <v>2009</v>
      </c>
      <c r="D208" s="46">
        <v>369.41</v>
      </c>
      <c r="E208" s="17">
        <v>406.93</v>
      </c>
      <c r="F208" s="46">
        <f t="shared" si="17"/>
        <v>-37.519999999999982</v>
      </c>
      <c r="G208" s="20">
        <f>+F208/D208</f>
        <v>-0.10156736417530651</v>
      </c>
    </row>
    <row r="209" spans="1:7" x14ac:dyDescent="0.25">
      <c r="A209" s="6"/>
      <c r="B209" s="17" t="s">
        <v>10</v>
      </c>
      <c r="C209" s="18">
        <v>2009</v>
      </c>
      <c r="D209" s="46">
        <v>368.62</v>
      </c>
      <c r="E209" s="17">
        <v>406.93</v>
      </c>
      <c r="F209" s="46">
        <f t="shared" si="17"/>
        <v>-38.31</v>
      </c>
      <c r="G209" s="20">
        <f>+F209/D209</f>
        <v>-0.10392816450545278</v>
      </c>
    </row>
    <row r="210" spans="1:7" x14ac:dyDescent="0.25">
      <c r="A210" s="6"/>
      <c r="B210" s="17" t="s">
        <v>8</v>
      </c>
      <c r="C210" s="18">
        <v>2009</v>
      </c>
      <c r="D210" s="46">
        <v>368.75</v>
      </c>
      <c r="E210" s="17">
        <v>406.93</v>
      </c>
      <c r="F210" s="46">
        <f t="shared" si="17"/>
        <v>-38.180000000000007</v>
      </c>
      <c r="G210" s="20">
        <f>+F210/D210</f>
        <v>-0.10353898305084748</v>
      </c>
    </row>
    <row r="211" spans="1:7" x14ac:dyDescent="0.25">
      <c r="A211" s="6"/>
      <c r="B211" s="17" t="s">
        <v>4</v>
      </c>
      <c r="C211" s="18">
        <v>2009</v>
      </c>
      <c r="D211" s="46">
        <v>368.38</v>
      </c>
      <c r="E211" s="17">
        <v>406.93</v>
      </c>
      <c r="F211" s="46">
        <f t="shared" si="17"/>
        <v>-38.550000000000011</v>
      </c>
      <c r="G211" s="20">
        <f>+F211/D211</f>
        <v>-0.10464737499321357</v>
      </c>
    </row>
    <row r="212" spans="1:7" x14ac:dyDescent="0.25">
      <c r="A212" s="6"/>
      <c r="B212" s="17" t="s">
        <v>7</v>
      </c>
      <c r="C212" s="18">
        <v>2009</v>
      </c>
      <c r="D212" s="46">
        <v>367.49</v>
      </c>
      <c r="E212" s="17">
        <v>406.93</v>
      </c>
      <c r="F212" s="46">
        <f t="shared" si="17"/>
        <v>-39.44</v>
      </c>
      <c r="G212" s="20">
        <f>+F212/D212</f>
        <v>-0.10732264823532613</v>
      </c>
    </row>
    <row r="213" spans="1:7" x14ac:dyDescent="0.25">
      <c r="A213" s="6"/>
      <c r="B213" s="17" t="s">
        <v>9</v>
      </c>
      <c r="C213" s="18">
        <v>2009</v>
      </c>
      <c r="D213" s="46">
        <v>369.56</v>
      </c>
      <c r="E213" s="17">
        <v>406.93</v>
      </c>
      <c r="F213" s="46">
        <f t="shared" si="17"/>
        <v>-37.370000000000005</v>
      </c>
      <c r="G213" s="20">
        <f t="shared" ref="G213:G220" si="18">+F213/D213</f>
        <v>-0.10112025110942743</v>
      </c>
    </row>
    <row r="214" spans="1:7" x14ac:dyDescent="0.25">
      <c r="A214" s="6"/>
      <c r="B214" s="17" t="s">
        <v>11</v>
      </c>
      <c r="C214" s="18">
        <v>2009</v>
      </c>
      <c r="D214" s="46">
        <v>370.8</v>
      </c>
      <c r="E214" s="17">
        <v>406.93</v>
      </c>
      <c r="F214" s="46">
        <f t="shared" si="17"/>
        <v>-36.129999999999995</v>
      </c>
      <c r="G214" s="20">
        <f t="shared" si="18"/>
        <v>-9.7437971952535049E-2</v>
      </c>
    </row>
    <row r="215" spans="1:7" x14ac:dyDescent="0.25">
      <c r="A215" s="6"/>
      <c r="B215" s="17" t="s">
        <v>3</v>
      </c>
      <c r="C215" s="18">
        <v>2009</v>
      </c>
      <c r="D215" s="46">
        <v>369.85</v>
      </c>
      <c r="E215" s="17">
        <v>406.93</v>
      </c>
      <c r="F215" s="46">
        <f t="shared" si="17"/>
        <v>-37.079999999999984</v>
      </c>
      <c r="G215" s="20">
        <f t="shared" si="18"/>
        <v>-0.10025686088954977</v>
      </c>
    </row>
    <row r="216" spans="1:7" x14ac:dyDescent="0.25">
      <c r="A216" s="6"/>
      <c r="B216" s="17" t="s">
        <v>12</v>
      </c>
      <c r="C216" s="18">
        <v>2009</v>
      </c>
      <c r="D216" s="46">
        <v>377.87</v>
      </c>
      <c r="E216" s="17">
        <v>406.93</v>
      </c>
      <c r="F216" s="46">
        <f t="shared" si="17"/>
        <v>-29.060000000000002</v>
      </c>
      <c r="G216" s="20">
        <f t="shared" si="18"/>
        <v>-7.6904755603779087E-2</v>
      </c>
    </row>
    <row r="217" spans="1:7" x14ac:dyDescent="0.25">
      <c r="A217" s="6"/>
      <c r="B217" s="17" t="s">
        <v>5</v>
      </c>
      <c r="C217" s="18">
        <v>2010</v>
      </c>
      <c r="D217" s="46">
        <v>383.03</v>
      </c>
      <c r="E217" s="46">
        <v>448</v>
      </c>
      <c r="F217" s="46">
        <f t="shared" si="17"/>
        <v>-64.970000000000027</v>
      </c>
      <c r="G217" s="20">
        <f t="shared" si="18"/>
        <v>-0.16962117849776789</v>
      </c>
    </row>
    <row r="218" spans="1:7" x14ac:dyDescent="0.25">
      <c r="A218" s="6"/>
      <c r="B218" s="17" t="s">
        <v>17</v>
      </c>
      <c r="C218" s="18">
        <v>2010</v>
      </c>
      <c r="D218" s="46">
        <v>383.44</v>
      </c>
      <c r="E218" s="46">
        <v>448</v>
      </c>
      <c r="F218" s="46">
        <f t="shared" si="17"/>
        <v>-64.56</v>
      </c>
      <c r="G218" s="20">
        <f t="shared" si="18"/>
        <v>-0.16837054037137492</v>
      </c>
    </row>
    <row r="219" spans="1:7" x14ac:dyDescent="0.25">
      <c r="A219" s="6"/>
      <c r="B219" s="17" t="s">
        <v>6</v>
      </c>
      <c r="C219" s="18">
        <v>2010</v>
      </c>
      <c r="D219" s="46">
        <v>382.64</v>
      </c>
      <c r="E219" s="46">
        <v>448</v>
      </c>
      <c r="F219" s="46">
        <f t="shared" si="17"/>
        <v>-65.360000000000014</v>
      </c>
      <c r="G219" s="20">
        <f t="shared" si="18"/>
        <v>-0.17081329709387419</v>
      </c>
    </row>
    <row r="220" spans="1:7" x14ac:dyDescent="0.25">
      <c r="A220" s="6"/>
      <c r="B220" s="17" t="s">
        <v>16</v>
      </c>
      <c r="C220" s="18">
        <v>2010</v>
      </c>
      <c r="D220" s="46">
        <v>385.64</v>
      </c>
      <c r="E220" s="46">
        <v>448</v>
      </c>
      <c r="F220" s="46">
        <f t="shared" si="17"/>
        <v>-62.360000000000014</v>
      </c>
      <c r="G220" s="20">
        <f t="shared" si="18"/>
        <v>-0.16170521730110987</v>
      </c>
    </row>
    <row r="221" spans="1:7" x14ac:dyDescent="0.25">
      <c r="A221" s="6"/>
      <c r="B221" s="17" t="s">
        <v>10</v>
      </c>
      <c r="C221" s="18">
        <v>2010</v>
      </c>
      <c r="D221" s="46">
        <v>385.3</v>
      </c>
      <c r="E221" s="46">
        <v>448</v>
      </c>
      <c r="F221" s="46">
        <f>+D221-E221</f>
        <v>-62.699999999999989</v>
      </c>
      <c r="G221" s="20">
        <f>+F221/D221</f>
        <v>-0.16273033999480921</v>
      </c>
    </row>
    <row r="222" spans="1:7" x14ac:dyDescent="0.25">
      <c r="A222" s="6"/>
      <c r="B222" s="17" t="s">
        <v>8</v>
      </c>
      <c r="C222" s="18">
        <v>2010</v>
      </c>
      <c r="D222" s="46">
        <v>384.67</v>
      </c>
      <c r="E222" s="46">
        <v>448</v>
      </c>
      <c r="F222" s="46">
        <f>+D222-E222</f>
        <v>-63.329999999999984</v>
      </c>
      <c r="G222" s="20">
        <f>+F222/D222</f>
        <v>-0.16463462188369246</v>
      </c>
    </row>
    <row r="223" spans="1:7" x14ac:dyDescent="0.25">
      <c r="A223" s="6"/>
      <c r="B223" s="17" t="s">
        <v>4</v>
      </c>
      <c r="C223" s="18">
        <v>2010</v>
      </c>
      <c r="D223" s="46">
        <v>384.73</v>
      </c>
      <c r="E223" s="46">
        <v>448</v>
      </c>
      <c r="F223" s="46">
        <f>+D223-E223</f>
        <v>-63.269999999999982</v>
      </c>
      <c r="G223" s="20">
        <v>-0.16439999999999999</v>
      </c>
    </row>
    <row r="224" spans="1:7" x14ac:dyDescent="0.25">
      <c r="A224" s="6"/>
      <c r="B224" s="17" t="s">
        <v>7</v>
      </c>
      <c r="C224" s="18">
        <v>2010</v>
      </c>
      <c r="D224" s="46">
        <v>385.78</v>
      </c>
      <c r="E224" s="46">
        <v>448</v>
      </c>
      <c r="F224" s="46">
        <f>+D224-E224</f>
        <v>-62.220000000000027</v>
      </c>
      <c r="G224" s="20">
        <f>+F224/D224</f>
        <v>-0.16128363315879524</v>
      </c>
    </row>
    <row r="225" spans="1:7" x14ac:dyDescent="0.25">
      <c r="A225" s="6"/>
      <c r="B225" s="17" t="s">
        <v>9</v>
      </c>
      <c r="C225" s="18">
        <v>2010</v>
      </c>
      <c r="D225" s="46">
        <v>385.28</v>
      </c>
      <c r="E225" s="46">
        <v>448</v>
      </c>
      <c r="F225" s="46">
        <f>+D225-E225</f>
        <v>-62.720000000000027</v>
      </c>
      <c r="G225" s="20">
        <f>+F225/D225</f>
        <v>-0.1627906976744187</v>
      </c>
    </row>
    <row r="226" spans="1:7" x14ac:dyDescent="0.25">
      <c r="A226" s="6"/>
      <c r="B226" s="17" t="s">
        <v>11</v>
      </c>
      <c r="C226" s="18">
        <v>2010</v>
      </c>
      <c r="D226" s="46">
        <v>386.32</v>
      </c>
      <c r="E226" s="46">
        <v>448</v>
      </c>
      <c r="F226" s="46">
        <f t="shared" ref="F226:F267" si="19">+D226-E226</f>
        <v>-61.680000000000007</v>
      </c>
      <c r="G226" s="20">
        <f>+F226/D226</f>
        <v>-0.15966038517291367</v>
      </c>
    </row>
    <row r="227" spans="1:7" x14ac:dyDescent="0.25">
      <c r="A227" s="6"/>
      <c r="B227" s="17" t="s">
        <v>3</v>
      </c>
      <c r="C227" s="18">
        <v>2010</v>
      </c>
      <c r="D227" s="46">
        <v>387.35</v>
      </c>
      <c r="E227" s="46">
        <v>448</v>
      </c>
      <c r="F227" s="46">
        <f t="shared" si="19"/>
        <v>-60.649999999999977</v>
      </c>
      <c r="G227" s="20">
        <f>+F227/D227</f>
        <v>-0.15657673938298688</v>
      </c>
    </row>
    <row r="228" spans="1:7" x14ac:dyDescent="0.25">
      <c r="A228" s="6"/>
      <c r="B228" s="17" t="s">
        <v>12</v>
      </c>
      <c r="C228" s="18">
        <v>2010</v>
      </c>
      <c r="D228" s="46">
        <v>390.1</v>
      </c>
      <c r="E228" s="46">
        <v>448</v>
      </c>
      <c r="F228" s="46">
        <f t="shared" si="19"/>
        <v>-57.899999999999977</v>
      </c>
      <c r="G228" s="20">
        <f>+F228/D228</f>
        <v>-0.14842348115867721</v>
      </c>
    </row>
    <row r="229" spans="1:7" x14ac:dyDescent="0.25">
      <c r="A229" s="6"/>
      <c r="B229" s="17" t="s">
        <v>5</v>
      </c>
      <c r="C229" s="18">
        <v>2011</v>
      </c>
      <c r="D229" s="46">
        <v>393.4</v>
      </c>
      <c r="E229" s="46">
        <v>492.8</v>
      </c>
      <c r="F229" s="46">
        <f t="shared" si="19"/>
        <v>-99.400000000000034</v>
      </c>
      <c r="G229" s="20">
        <f t="shared" ref="G229:G236" si="20">+F229/D229</f>
        <v>-0.25266903914590755</v>
      </c>
    </row>
    <row r="230" spans="1:7" x14ac:dyDescent="0.25">
      <c r="A230" s="6"/>
      <c r="B230" s="17" t="s">
        <v>17</v>
      </c>
      <c r="C230" s="18">
        <v>2011</v>
      </c>
      <c r="D230" s="46">
        <v>395.04</v>
      </c>
      <c r="E230" s="46">
        <v>492.8</v>
      </c>
      <c r="F230" s="46">
        <f t="shared" si="19"/>
        <v>-97.759999999999991</v>
      </c>
      <c r="G230" s="20">
        <f t="shared" si="20"/>
        <v>-0.2474686107735925</v>
      </c>
    </row>
    <row r="231" spans="1:7" x14ac:dyDescent="0.25">
      <c r="A231" s="6"/>
      <c r="B231" s="17" t="s">
        <v>6</v>
      </c>
      <c r="C231" s="18">
        <v>2011</v>
      </c>
      <c r="D231" s="46">
        <v>396.04</v>
      </c>
      <c r="E231" s="46">
        <v>492.8</v>
      </c>
      <c r="F231" s="46">
        <f t="shared" si="19"/>
        <v>-96.759999999999991</v>
      </c>
      <c r="G231" s="20">
        <f t="shared" si="20"/>
        <v>-0.24431875568124428</v>
      </c>
    </row>
    <row r="232" spans="1:7" x14ac:dyDescent="0.25">
      <c r="A232" s="6"/>
      <c r="B232" s="17" t="s">
        <v>16</v>
      </c>
      <c r="C232" s="18">
        <v>2011</v>
      </c>
      <c r="D232" s="46">
        <v>398.85</v>
      </c>
      <c r="E232" s="46">
        <v>492.8</v>
      </c>
      <c r="F232" s="46">
        <f t="shared" si="19"/>
        <v>-93.949999999999989</v>
      </c>
      <c r="G232" s="20">
        <f t="shared" si="20"/>
        <v>-0.23555221261125733</v>
      </c>
    </row>
    <row r="233" spans="1:7" x14ac:dyDescent="0.25">
      <c r="A233" s="6"/>
      <c r="B233" s="17" t="s">
        <v>10</v>
      </c>
      <c r="C233" s="18">
        <v>2011</v>
      </c>
      <c r="D233" s="46">
        <v>401.03</v>
      </c>
      <c r="E233" s="46">
        <v>492.8</v>
      </c>
      <c r="F233" s="46">
        <f t="shared" si="19"/>
        <v>-91.770000000000039</v>
      </c>
      <c r="G233" s="20">
        <f t="shared" si="20"/>
        <v>-0.22883574794903136</v>
      </c>
    </row>
    <row r="234" spans="1:7" x14ac:dyDescent="0.25">
      <c r="A234" s="6"/>
      <c r="B234" s="17" t="s">
        <v>8</v>
      </c>
      <c r="C234" s="18">
        <v>2011</v>
      </c>
      <c r="D234" s="46">
        <v>400.81</v>
      </c>
      <c r="E234" s="46">
        <v>492.8</v>
      </c>
      <c r="F234" s="46">
        <f t="shared" si="19"/>
        <v>-91.990000000000009</v>
      </c>
      <c r="G234" s="20">
        <f t="shared" si="20"/>
        <v>-0.22951024176043514</v>
      </c>
    </row>
    <row r="235" spans="1:7" x14ac:dyDescent="0.25">
      <c r="A235" s="6"/>
      <c r="B235" s="17" t="s">
        <v>4</v>
      </c>
      <c r="C235" s="18">
        <v>2011</v>
      </c>
      <c r="D235" s="46">
        <v>403.2</v>
      </c>
      <c r="E235" s="46">
        <v>492.8</v>
      </c>
      <c r="F235" s="46">
        <f t="shared" si="19"/>
        <v>-89.600000000000023</v>
      </c>
      <c r="G235" s="20">
        <f t="shared" si="20"/>
        <v>-0.22222222222222229</v>
      </c>
    </row>
    <row r="236" spans="1:7" x14ac:dyDescent="0.25">
      <c r="A236" s="6"/>
      <c r="B236" s="17" t="s">
        <v>7</v>
      </c>
      <c r="C236" s="18">
        <v>2011</v>
      </c>
      <c r="D236" s="46">
        <v>407.49</v>
      </c>
      <c r="E236" s="46">
        <v>492.8</v>
      </c>
      <c r="F236" s="46">
        <f t="shared" si="19"/>
        <v>-85.31</v>
      </c>
      <c r="G236" s="20">
        <f t="shared" si="20"/>
        <v>-0.2093548307933937</v>
      </c>
    </row>
    <row r="237" spans="1:7" x14ac:dyDescent="0.25">
      <c r="A237" s="6"/>
      <c r="B237" s="17" t="s">
        <v>9</v>
      </c>
      <c r="C237" s="18">
        <v>2011</v>
      </c>
      <c r="D237" s="46">
        <v>410.08</v>
      </c>
      <c r="E237" s="46">
        <v>492.8</v>
      </c>
      <c r="F237" s="46">
        <f t="shared" si="19"/>
        <v>-82.720000000000027</v>
      </c>
      <c r="G237" s="20">
        <f>+F237/D237</f>
        <v>-0.20171673819742497</v>
      </c>
    </row>
    <row r="238" spans="1:7" x14ac:dyDescent="0.25">
      <c r="A238" s="6"/>
      <c r="B238" s="17" t="s">
        <v>11</v>
      </c>
      <c r="C238" s="18">
        <v>2011</v>
      </c>
      <c r="D238" s="46">
        <v>413.51</v>
      </c>
      <c r="E238" s="46">
        <v>492.8</v>
      </c>
      <c r="F238" s="46">
        <f t="shared" si="19"/>
        <v>-79.29000000000002</v>
      </c>
      <c r="G238" s="20">
        <f>+F238/D238</f>
        <v>-0.1917486880607483</v>
      </c>
    </row>
    <row r="239" spans="1:7" x14ac:dyDescent="0.25">
      <c r="A239" s="6"/>
      <c r="B239" s="17" t="s">
        <v>3</v>
      </c>
      <c r="C239" s="18">
        <v>2011</v>
      </c>
      <c r="D239" s="46">
        <v>411.24</v>
      </c>
      <c r="E239" s="46">
        <v>492.8</v>
      </c>
      <c r="F239" s="46">
        <f t="shared" si="19"/>
        <v>-81.56</v>
      </c>
      <c r="G239" s="20">
        <f>+F239/D239</f>
        <v>-0.19832701099114872</v>
      </c>
    </row>
    <row r="240" spans="1:7" x14ac:dyDescent="0.25">
      <c r="A240" s="6"/>
      <c r="B240" s="17" t="s">
        <v>12</v>
      </c>
      <c r="C240" s="18">
        <v>2011</v>
      </c>
      <c r="D240" s="46">
        <v>419.25</v>
      </c>
      <c r="E240" s="46">
        <v>492.8</v>
      </c>
      <c r="F240" s="46">
        <f t="shared" si="19"/>
        <v>-73.550000000000011</v>
      </c>
      <c r="G240" s="20">
        <f>+F240/D240</f>
        <v>-0.17543231961836617</v>
      </c>
    </row>
    <row r="241" spans="1:7" x14ac:dyDescent="0.25">
      <c r="A241" s="6"/>
      <c r="B241" s="17" t="s">
        <v>5</v>
      </c>
      <c r="C241" s="18">
        <v>2012</v>
      </c>
      <c r="D241" s="46">
        <v>421.07</v>
      </c>
      <c r="E241" s="46">
        <v>545.07000000000005</v>
      </c>
      <c r="F241" s="46">
        <f t="shared" si="19"/>
        <v>-124.00000000000006</v>
      </c>
      <c r="G241" s="20">
        <f>+F241/D241</f>
        <v>-0.29448785237608965</v>
      </c>
    </row>
    <row r="242" spans="1:7" x14ac:dyDescent="0.25">
      <c r="A242" s="6"/>
      <c r="B242" s="17" t="s">
        <v>17</v>
      </c>
      <c r="C242" s="18">
        <v>2012</v>
      </c>
      <c r="D242" s="46">
        <v>418.82</v>
      </c>
      <c r="E242" s="46">
        <v>545.07000000000005</v>
      </c>
      <c r="F242" s="46">
        <f t="shared" si="19"/>
        <v>-126.25000000000006</v>
      </c>
      <c r="G242" s="20">
        <f t="shared" ref="G242:G255" si="21">+F242/D242</f>
        <v>-0.30144214698438482</v>
      </c>
    </row>
    <row r="243" spans="1:7" x14ac:dyDescent="0.25">
      <c r="A243" s="6"/>
      <c r="B243" s="17" t="s">
        <v>6</v>
      </c>
      <c r="C243" s="18">
        <v>2012</v>
      </c>
      <c r="D243" s="46">
        <v>422.5</v>
      </c>
      <c r="E243" s="46">
        <v>545.07000000000005</v>
      </c>
      <c r="F243" s="46">
        <f t="shared" si="19"/>
        <v>-122.57000000000005</v>
      </c>
      <c r="G243" s="20">
        <f t="shared" si="21"/>
        <v>-0.29010650887573974</v>
      </c>
    </row>
    <row r="244" spans="1:7" x14ac:dyDescent="0.25">
      <c r="A244" s="6"/>
      <c r="B244" s="17" t="s">
        <v>16</v>
      </c>
      <c r="C244" s="18">
        <v>2012</v>
      </c>
      <c r="D244" s="46">
        <v>424.77</v>
      </c>
      <c r="E244" s="46">
        <v>545.07000000000005</v>
      </c>
      <c r="F244" s="46">
        <f t="shared" si="19"/>
        <v>-120.30000000000007</v>
      </c>
      <c r="G244" s="20">
        <f t="shared" si="21"/>
        <v>-0.28321209124938218</v>
      </c>
    </row>
    <row r="245" spans="1:7" x14ac:dyDescent="0.25">
      <c r="A245" s="6"/>
      <c r="B245" s="17" t="s">
        <v>10</v>
      </c>
      <c r="C245" s="18">
        <v>2012</v>
      </c>
      <c r="D245" s="46">
        <v>423.36</v>
      </c>
      <c r="E245" s="46">
        <v>545.07000000000005</v>
      </c>
      <c r="F245" s="46">
        <f t="shared" si="19"/>
        <v>-121.71000000000004</v>
      </c>
      <c r="G245" s="20">
        <f t="shared" si="21"/>
        <v>-0.28748582766439917</v>
      </c>
    </row>
    <row r="246" spans="1:7" x14ac:dyDescent="0.25">
      <c r="A246" s="6"/>
      <c r="B246" s="17" t="s">
        <v>8</v>
      </c>
      <c r="C246" s="18">
        <v>2012</v>
      </c>
      <c r="D246" s="46">
        <v>426.42</v>
      </c>
      <c r="E246" s="46">
        <v>545.07000000000005</v>
      </c>
      <c r="F246" s="46">
        <f t="shared" si="19"/>
        <v>-118.65000000000003</v>
      </c>
      <c r="G246" s="20">
        <f t="shared" si="21"/>
        <v>-0.27824679893063187</v>
      </c>
    </row>
    <row r="247" spans="1:7" x14ac:dyDescent="0.25">
      <c r="A247" s="6"/>
      <c r="B247" s="17" t="s">
        <v>4</v>
      </c>
      <c r="C247" s="18">
        <v>2012</v>
      </c>
      <c r="D247" s="46">
        <v>424.4</v>
      </c>
      <c r="E247" s="46">
        <v>545.07000000000005</v>
      </c>
      <c r="F247" s="46">
        <f t="shared" si="19"/>
        <v>-120.67000000000007</v>
      </c>
      <c r="G247" s="20">
        <f t="shared" si="21"/>
        <v>-0.28433081998115006</v>
      </c>
    </row>
    <row r="248" spans="1:7" x14ac:dyDescent="0.25">
      <c r="A248" s="6"/>
      <c r="B248" s="17" t="s">
        <v>7</v>
      </c>
      <c r="C248" s="18">
        <v>2012</v>
      </c>
      <c r="D248" s="46">
        <v>426.46</v>
      </c>
      <c r="E248" s="46">
        <v>545.07000000000005</v>
      </c>
      <c r="F248" s="46">
        <f t="shared" si="19"/>
        <v>-118.61000000000007</v>
      </c>
      <c r="G248" s="20">
        <f t="shared" si="21"/>
        <v>-0.278126905219716</v>
      </c>
    </row>
    <row r="249" spans="1:7" x14ac:dyDescent="0.25">
      <c r="A249" s="6"/>
      <c r="B249" s="17" t="s">
        <v>9</v>
      </c>
      <c r="C249" s="18">
        <v>2012</v>
      </c>
      <c r="D249" s="46">
        <v>432.71</v>
      </c>
      <c r="E249" s="46">
        <v>545.07000000000005</v>
      </c>
      <c r="F249" s="46">
        <f t="shared" si="19"/>
        <v>-112.36000000000007</v>
      </c>
      <c r="G249" s="20">
        <f t="shared" si="21"/>
        <v>-0.25966582699729629</v>
      </c>
    </row>
    <row r="250" spans="1:7" x14ac:dyDescent="0.25">
      <c r="A250" s="6"/>
      <c r="B250" s="17" t="s">
        <v>11</v>
      </c>
      <c r="C250" s="18">
        <v>2012</v>
      </c>
      <c r="D250" s="46">
        <v>434.7</v>
      </c>
      <c r="E250" s="46">
        <v>545.07000000000005</v>
      </c>
      <c r="F250" s="46">
        <f t="shared" si="19"/>
        <v>-110.37000000000006</v>
      </c>
      <c r="G250" s="20">
        <f t="shared" si="21"/>
        <v>-0.25389924085576276</v>
      </c>
    </row>
    <row r="251" spans="1:7" x14ac:dyDescent="0.25">
      <c r="A251" s="6"/>
      <c r="B251" s="17" t="s">
        <v>3</v>
      </c>
      <c r="C251" s="18">
        <v>2012</v>
      </c>
      <c r="D251" s="46">
        <v>434.04</v>
      </c>
      <c r="E251" s="46">
        <v>545.07000000000005</v>
      </c>
      <c r="F251" s="46">
        <f t="shared" si="19"/>
        <v>-111.03000000000003</v>
      </c>
      <c r="G251" s="20">
        <f t="shared" si="21"/>
        <v>-0.25580591650539125</v>
      </c>
    </row>
    <row r="252" spans="1:7" x14ac:dyDescent="0.25">
      <c r="A252" s="6"/>
      <c r="B252" s="17" t="s">
        <v>12</v>
      </c>
      <c r="C252" s="18">
        <v>2012</v>
      </c>
      <c r="D252" s="46">
        <v>431.32</v>
      </c>
      <c r="E252" s="46">
        <v>545.07000000000005</v>
      </c>
      <c r="F252" s="46">
        <f t="shared" si="19"/>
        <v>-113.75000000000006</v>
      </c>
      <c r="G252" s="20">
        <f t="shared" si="21"/>
        <v>-0.26372530835574531</v>
      </c>
    </row>
    <row r="253" spans="1:7" x14ac:dyDescent="0.25">
      <c r="A253" s="6"/>
      <c r="B253" s="17" t="s">
        <v>5</v>
      </c>
      <c r="C253" s="18">
        <v>2013</v>
      </c>
      <c r="D253" s="46">
        <v>435.47</v>
      </c>
      <c r="E253" s="46">
        <v>593.6</v>
      </c>
      <c r="F253" s="46">
        <f t="shared" si="19"/>
        <v>-158.13</v>
      </c>
      <c r="G253" s="20">
        <f t="shared" si="21"/>
        <v>-0.36312489953383698</v>
      </c>
    </row>
    <row r="254" spans="1:7" x14ac:dyDescent="0.25">
      <c r="A254" s="6"/>
      <c r="B254" s="17" t="s">
        <v>17</v>
      </c>
      <c r="C254" s="18">
        <v>2013</v>
      </c>
      <c r="D254" s="46">
        <v>436.27</v>
      </c>
      <c r="E254" s="46">
        <v>593.6</v>
      </c>
      <c r="F254" s="46">
        <f t="shared" si="19"/>
        <v>-157.33000000000004</v>
      </c>
      <c r="G254" s="20">
        <f t="shared" si="21"/>
        <v>-0.36062530084580663</v>
      </c>
    </row>
    <row r="255" spans="1:7" x14ac:dyDescent="0.25">
      <c r="A255" s="6"/>
      <c r="B255" s="17" t="s">
        <v>6</v>
      </c>
      <c r="C255" s="18">
        <v>2013</v>
      </c>
      <c r="D255" s="46">
        <v>436.27</v>
      </c>
      <c r="E255" s="46">
        <v>593.6</v>
      </c>
      <c r="F255" s="46">
        <f t="shared" si="19"/>
        <v>-157.33000000000004</v>
      </c>
      <c r="G255" s="20">
        <f t="shared" si="21"/>
        <v>-0.36062530084580663</v>
      </c>
    </row>
    <row r="256" spans="1:7" x14ac:dyDescent="0.25">
      <c r="A256" s="6"/>
      <c r="B256" s="17" t="s">
        <v>16</v>
      </c>
      <c r="C256" s="18">
        <v>2013</v>
      </c>
      <c r="D256" s="46">
        <v>437.87</v>
      </c>
      <c r="E256" s="46">
        <v>593.6</v>
      </c>
      <c r="F256" s="46">
        <f t="shared" si="19"/>
        <v>-155.73000000000002</v>
      </c>
      <c r="G256" s="20">
        <f>+F256/D256</f>
        <v>-0.35565350446479554</v>
      </c>
    </row>
    <row r="257" spans="1:8" x14ac:dyDescent="0.25">
      <c r="A257" s="6"/>
      <c r="B257" s="17" t="s">
        <v>10</v>
      </c>
      <c r="C257" s="18">
        <v>2013</v>
      </c>
      <c r="D257" s="46">
        <v>436.97</v>
      </c>
      <c r="E257" s="46">
        <v>593.6</v>
      </c>
      <c r="F257" s="46">
        <f t="shared" si="19"/>
        <v>-156.63</v>
      </c>
      <c r="G257" s="20">
        <v>-0.35849999999999999</v>
      </c>
    </row>
    <row r="258" spans="1:8" x14ac:dyDescent="0.25">
      <c r="A258" s="6"/>
      <c r="B258" s="17" t="s">
        <v>8</v>
      </c>
      <c r="C258" s="18">
        <v>2013</v>
      </c>
      <c r="D258" s="46">
        <v>435.7</v>
      </c>
      <c r="E258" s="46">
        <v>593.6</v>
      </c>
      <c r="F258" s="46">
        <f t="shared" si="19"/>
        <v>-157.90000000000003</v>
      </c>
      <c r="G258" s="20">
        <f>+F258/D258</f>
        <v>-0.36240532476474646</v>
      </c>
    </row>
    <row r="259" spans="1:8" x14ac:dyDescent="0.25">
      <c r="A259" s="6"/>
      <c r="B259" s="17" t="s">
        <v>4</v>
      </c>
      <c r="C259" s="18">
        <v>2013</v>
      </c>
      <c r="D259" s="46">
        <v>436.33</v>
      </c>
      <c r="E259" s="46">
        <v>593.6</v>
      </c>
      <c r="F259" s="46">
        <f t="shared" si="19"/>
        <v>-157.27000000000004</v>
      </c>
      <c r="G259" s="20">
        <f>+F259/D259</f>
        <v>-0.36043820044461772</v>
      </c>
    </row>
    <row r="260" spans="1:8" x14ac:dyDescent="0.25">
      <c r="A260" s="6"/>
      <c r="B260" s="17" t="s">
        <v>7</v>
      </c>
      <c r="C260" s="18">
        <v>2013</v>
      </c>
      <c r="D260" s="46">
        <v>437.18</v>
      </c>
      <c r="E260" s="46">
        <v>593.6</v>
      </c>
      <c r="F260" s="46">
        <f t="shared" si="19"/>
        <v>-156.42000000000002</v>
      </c>
      <c r="G260" s="20">
        <f>+F260/D260</f>
        <v>-0.35779312868841212</v>
      </c>
    </row>
    <row r="261" spans="1:8" x14ac:dyDescent="0.25">
      <c r="A261" s="6"/>
      <c r="B261" s="17" t="s">
        <v>9</v>
      </c>
      <c r="C261" s="18">
        <v>2013</v>
      </c>
      <c r="D261" s="46">
        <v>436.56</v>
      </c>
      <c r="E261" s="46">
        <v>593.6</v>
      </c>
      <c r="F261" s="46">
        <f t="shared" si="19"/>
        <v>-157.04000000000002</v>
      </c>
      <c r="G261" s="20">
        <f>+F261/D261</f>
        <v>-0.35972145867692878</v>
      </c>
    </row>
    <row r="262" spans="1:8" x14ac:dyDescent="0.25">
      <c r="A262" s="6"/>
      <c r="B262" s="17" t="s">
        <v>11</v>
      </c>
      <c r="C262" s="18">
        <v>2013</v>
      </c>
      <c r="D262" s="46">
        <v>439.1</v>
      </c>
      <c r="E262" s="46">
        <v>593.6</v>
      </c>
      <c r="F262" s="46">
        <f t="shared" si="19"/>
        <v>-154.5</v>
      </c>
      <c r="G262" s="20">
        <f>+F262/D262</f>
        <v>-0.35185606923252105</v>
      </c>
    </row>
    <row r="263" spans="1:8" x14ac:dyDescent="0.25">
      <c r="A263" s="6"/>
      <c r="B263" s="17" t="s">
        <v>3</v>
      </c>
      <c r="C263" s="18">
        <v>2013</v>
      </c>
      <c r="D263" s="46">
        <v>442.11</v>
      </c>
      <c r="E263" s="46">
        <v>593.6</v>
      </c>
      <c r="F263" s="46">
        <f t="shared" si="19"/>
        <v>-151.49</v>
      </c>
      <c r="G263" s="20">
        <v>-0.34260000000000002</v>
      </c>
    </row>
    <row r="264" spans="1:8" x14ac:dyDescent="0.25">
      <c r="A264" s="6"/>
      <c r="B264" s="17" t="s">
        <v>12</v>
      </c>
      <c r="C264" s="18">
        <v>2013</v>
      </c>
      <c r="D264" s="46">
        <v>444.78</v>
      </c>
      <c r="E264" s="46">
        <v>593.6</v>
      </c>
      <c r="F264" s="46">
        <f t="shared" si="19"/>
        <v>-148.82000000000005</v>
      </c>
      <c r="G264" s="20">
        <f t="shared" ref="G264:G311" si="22">+F264/D264</f>
        <v>-0.3345923827510231</v>
      </c>
    </row>
    <row r="265" spans="1:8" x14ac:dyDescent="0.25">
      <c r="A265" s="6"/>
      <c r="B265" s="17" t="s">
        <v>5</v>
      </c>
      <c r="C265" s="18">
        <v>2014</v>
      </c>
      <c r="D265" s="46">
        <v>449.54</v>
      </c>
      <c r="E265" s="46">
        <v>634.66999999999996</v>
      </c>
      <c r="F265" s="46">
        <f t="shared" si="19"/>
        <v>-185.12999999999994</v>
      </c>
      <c r="G265" s="20">
        <f t="shared" si="22"/>
        <v>-0.41182097254971733</v>
      </c>
    </row>
    <row r="266" spans="1:8" x14ac:dyDescent="0.25">
      <c r="A266" s="6"/>
      <c r="B266" s="17" t="s">
        <v>17</v>
      </c>
      <c r="C266" s="18">
        <v>2014</v>
      </c>
      <c r="D266" s="46">
        <v>449.54</v>
      </c>
      <c r="E266" s="46">
        <v>634.66999999999996</v>
      </c>
      <c r="F266" s="46">
        <f t="shared" si="19"/>
        <v>-185.12999999999994</v>
      </c>
      <c r="G266" s="20">
        <f t="shared" si="22"/>
        <v>-0.41182097254971733</v>
      </c>
    </row>
    <row r="267" spans="1:8" x14ac:dyDescent="0.25">
      <c r="A267" s="6"/>
      <c r="B267" s="17" t="s">
        <v>6</v>
      </c>
      <c r="C267" s="18">
        <v>2014</v>
      </c>
      <c r="D267" s="46">
        <v>452.74</v>
      </c>
      <c r="E267" s="46">
        <v>634.66999999999996</v>
      </c>
      <c r="F267" s="46">
        <f t="shared" si="19"/>
        <v>-181.92999999999995</v>
      </c>
      <c r="G267" s="20">
        <f t="shared" si="22"/>
        <v>-0.40184211688828014</v>
      </c>
    </row>
    <row r="268" spans="1:8" x14ac:dyDescent="0.25">
      <c r="A268" s="6"/>
      <c r="B268" s="17" t="s">
        <v>16</v>
      </c>
      <c r="C268" s="18">
        <v>2014</v>
      </c>
      <c r="D268" s="46">
        <v>453.66</v>
      </c>
      <c r="E268" s="46">
        <v>634.66999999999996</v>
      </c>
      <c r="F268" s="46">
        <f>+D268-E268</f>
        <v>-181.00999999999993</v>
      </c>
      <c r="G268" s="20">
        <f t="shared" si="22"/>
        <v>-0.39899925054005186</v>
      </c>
    </row>
    <row r="269" spans="1:8" x14ac:dyDescent="0.25">
      <c r="A269" s="6"/>
      <c r="B269" s="17" t="s">
        <v>10</v>
      </c>
      <c r="C269" s="18">
        <v>2014</v>
      </c>
      <c r="D269" s="46">
        <v>454.16</v>
      </c>
      <c r="E269" s="46">
        <v>634.66999999999996</v>
      </c>
      <c r="F269" s="46">
        <f>+D269-E269</f>
        <v>-180.50999999999993</v>
      </c>
      <c r="G269" s="20">
        <f t="shared" si="22"/>
        <v>-0.39745904527038911</v>
      </c>
    </row>
    <row r="270" spans="1:8" x14ac:dyDescent="0.25">
      <c r="A270" s="6"/>
      <c r="B270" s="17" t="s">
        <v>8</v>
      </c>
      <c r="C270" s="18">
        <v>2014</v>
      </c>
      <c r="D270" s="46">
        <v>455.20688842963398</v>
      </c>
      <c r="E270" s="46">
        <v>634.66999641073801</v>
      </c>
      <c r="F270" s="46">
        <f>+D270-E270</f>
        <v>-179.46310798110403</v>
      </c>
      <c r="G270" s="20">
        <f t="shared" si="22"/>
        <v>-0.39424514993657767</v>
      </c>
      <c r="H270" s="7"/>
    </row>
    <row r="271" spans="1:8" x14ac:dyDescent="0.25">
      <c r="A271" s="6"/>
      <c r="B271" s="17" t="s">
        <v>4</v>
      </c>
      <c r="C271" s="18">
        <v>2014</v>
      </c>
      <c r="D271" s="46">
        <v>458.01698897081798</v>
      </c>
      <c r="E271" s="46">
        <v>634.66999646694001</v>
      </c>
      <c r="F271" s="46">
        <f>+D271-E271</f>
        <v>-176.65300749612203</v>
      </c>
      <c r="G271" s="20">
        <f t="shared" si="22"/>
        <v>-0.38569094979002466</v>
      </c>
      <c r="H271" s="7"/>
    </row>
    <row r="272" spans="1:8" x14ac:dyDescent="0.25">
      <c r="A272" s="6"/>
      <c r="B272" s="17" t="s">
        <v>7</v>
      </c>
      <c r="C272" s="18">
        <v>2014</v>
      </c>
      <c r="D272" s="46">
        <v>457.94532643400299</v>
      </c>
      <c r="E272" s="46">
        <v>634.66999646550698</v>
      </c>
      <c r="F272" s="46">
        <f t="shared" ref="F272:F281" si="23">+D272-E272</f>
        <v>-176.72467003150399</v>
      </c>
      <c r="G272" s="20">
        <f t="shared" si="22"/>
        <v>-0.38590779254731133</v>
      </c>
      <c r="H272" s="7"/>
    </row>
    <row r="273" spans="1:8" x14ac:dyDescent="0.25">
      <c r="A273" s="6"/>
      <c r="B273" s="17" t="s">
        <v>9</v>
      </c>
      <c r="C273" s="18">
        <v>2014</v>
      </c>
      <c r="D273" s="46">
        <v>462.40041530546802</v>
      </c>
      <c r="E273" s="46">
        <v>634.66999683088204</v>
      </c>
      <c r="F273" s="46">
        <f t="shared" si="23"/>
        <v>-172.26958152541403</v>
      </c>
      <c r="G273" s="20">
        <f t="shared" si="22"/>
        <v>-0.37255498875711518</v>
      </c>
      <c r="H273" s="7"/>
    </row>
    <row r="274" spans="1:8" x14ac:dyDescent="0.25">
      <c r="A274" s="6"/>
      <c r="B274" s="17" t="s">
        <v>11</v>
      </c>
      <c r="C274" s="18">
        <v>2014</v>
      </c>
      <c r="D274" s="46">
        <v>464.55385176093398</v>
      </c>
      <c r="E274" s="46">
        <v>634.66999683088204</v>
      </c>
      <c r="F274" s="46">
        <f t="shared" si="23"/>
        <v>-170.11614506994806</v>
      </c>
      <c r="G274" s="20">
        <f t="shared" si="22"/>
        <v>-0.366192518746981</v>
      </c>
      <c r="H274" s="7"/>
    </row>
    <row r="275" spans="1:8" x14ac:dyDescent="0.25">
      <c r="A275" s="6"/>
      <c r="B275" s="17" t="s">
        <v>3</v>
      </c>
      <c r="C275" s="18">
        <v>2014</v>
      </c>
      <c r="D275" s="46">
        <v>464.38370024671201</v>
      </c>
      <c r="E275" s="46">
        <v>634.66999683088204</v>
      </c>
      <c r="F275" s="46">
        <f t="shared" si="23"/>
        <v>-170.28629658417003</v>
      </c>
      <c r="G275" s="20">
        <f t="shared" si="22"/>
        <v>-0.36669309558820096</v>
      </c>
      <c r="H275" s="7"/>
    </row>
    <row r="276" spans="1:8" x14ac:dyDescent="0.25">
      <c r="A276" s="6"/>
      <c r="B276" s="17" t="s">
        <v>12</v>
      </c>
      <c r="C276" s="18">
        <v>2014</v>
      </c>
      <c r="D276" s="46">
        <v>466.58727385601799</v>
      </c>
      <c r="E276" s="46">
        <v>634.66999663834599</v>
      </c>
      <c r="F276" s="46">
        <f t="shared" si="23"/>
        <v>-168.08272278232801</v>
      </c>
      <c r="G276" s="20">
        <f t="shared" si="22"/>
        <v>-0.36023854957131957</v>
      </c>
      <c r="H276" s="7"/>
    </row>
    <row r="277" spans="1:8" x14ac:dyDescent="0.25">
      <c r="A277" s="6"/>
      <c r="B277" s="17" t="s">
        <v>38</v>
      </c>
      <c r="C277" s="18">
        <v>2015</v>
      </c>
      <c r="D277" s="46">
        <v>476.44497706911056</v>
      </c>
      <c r="E277" s="46">
        <v>660.79999631289945</v>
      </c>
      <c r="F277" s="46">
        <f t="shared" si="23"/>
        <v>-184.35501924378889</v>
      </c>
      <c r="G277" s="20">
        <f t="shared" si="22"/>
        <v>-0.38693874028825648</v>
      </c>
      <c r="H277" s="7"/>
    </row>
    <row r="278" spans="1:8" x14ac:dyDescent="0.25">
      <c r="A278" s="6"/>
      <c r="B278" s="17" t="s">
        <v>17</v>
      </c>
      <c r="C278" s="18">
        <v>2015</v>
      </c>
      <c r="D278" s="46">
        <v>473.17064966546099</v>
      </c>
      <c r="E278" s="46">
        <v>660.79999624741299</v>
      </c>
      <c r="F278" s="46">
        <f t="shared" si="23"/>
        <v>-187.62934658195201</v>
      </c>
      <c r="G278" s="20">
        <f t="shared" si="22"/>
        <v>-0.39653631668534151</v>
      </c>
      <c r="H278" s="7"/>
    </row>
    <row r="279" spans="1:8" x14ac:dyDescent="0.25">
      <c r="A279" s="6"/>
      <c r="B279" s="17" t="s">
        <v>6</v>
      </c>
      <c r="C279" s="18">
        <v>2015</v>
      </c>
      <c r="D279" s="46">
        <v>474.68406176176126</v>
      </c>
      <c r="E279" s="46">
        <v>660.79999627768154</v>
      </c>
      <c r="F279" s="46">
        <f t="shared" si="23"/>
        <v>-186.11593451592029</v>
      </c>
      <c r="G279" s="20">
        <f t="shared" si="22"/>
        <v>-0.39208380796515946</v>
      </c>
      <c r="H279" s="7"/>
    </row>
    <row r="280" spans="1:8" x14ac:dyDescent="0.25">
      <c r="A280" s="6"/>
      <c r="B280" s="17" t="s">
        <v>16</v>
      </c>
      <c r="C280" s="18">
        <v>2015</v>
      </c>
      <c r="D280" s="46">
        <v>475.12864886207802</v>
      </c>
      <c r="E280" s="46">
        <v>660.79999628657299</v>
      </c>
      <c r="F280" s="46">
        <f t="shared" si="23"/>
        <v>-185.67134742449497</v>
      </c>
      <c r="G280" s="20">
        <f t="shared" si="22"/>
        <v>-0.39078120814051837</v>
      </c>
      <c r="H280" s="7"/>
    </row>
    <row r="281" spans="1:8" x14ac:dyDescent="0.25">
      <c r="A281" s="6"/>
      <c r="B281" s="17" t="s">
        <v>34</v>
      </c>
      <c r="C281" s="18">
        <v>2015</v>
      </c>
      <c r="D281" s="46">
        <v>479.87960799602399</v>
      </c>
      <c r="E281" s="46">
        <v>660.79999638159302</v>
      </c>
      <c r="F281" s="46">
        <f t="shared" si="23"/>
        <v>-180.92038838556903</v>
      </c>
      <c r="G281" s="20">
        <f t="shared" si="22"/>
        <v>-0.37701203670873223</v>
      </c>
      <c r="H281" s="7"/>
    </row>
    <row r="282" spans="1:8" x14ac:dyDescent="0.25">
      <c r="A282" s="6"/>
      <c r="B282" s="17" t="s">
        <v>35</v>
      </c>
      <c r="C282" s="18">
        <v>2015</v>
      </c>
      <c r="D282" s="46">
        <v>480.65239630483302</v>
      </c>
      <c r="E282" s="46">
        <v>660.79999639704704</v>
      </c>
      <c r="F282" s="46">
        <f>+D282-E282</f>
        <v>-180.14760009221402</v>
      </c>
      <c r="G282" s="20">
        <f t="shared" si="22"/>
        <v>-0.37479809000673991</v>
      </c>
      <c r="H282" s="7"/>
    </row>
    <row r="283" spans="1:8" x14ac:dyDescent="0.25">
      <c r="A283" s="6"/>
      <c r="B283" s="17" t="s">
        <v>39</v>
      </c>
      <c r="C283" s="18">
        <v>2015</v>
      </c>
      <c r="D283" s="46">
        <v>482.384208701913</v>
      </c>
      <c r="E283" s="46">
        <v>660.79999643168401</v>
      </c>
      <c r="F283" s="46">
        <f>+D283-E283</f>
        <v>-178.41578772977101</v>
      </c>
      <c r="G283" s="20">
        <f t="shared" si="22"/>
        <v>-0.36986241363473443</v>
      </c>
      <c r="H283" s="7"/>
    </row>
    <row r="284" spans="1:8" x14ac:dyDescent="0.25">
      <c r="A284" s="6"/>
      <c r="B284" s="17" t="s">
        <v>7</v>
      </c>
      <c r="C284" s="18">
        <v>2015</v>
      </c>
      <c r="D284" s="46">
        <v>482.50443034753198</v>
      </c>
      <c r="E284" s="46">
        <v>660.79999643408848</v>
      </c>
      <c r="F284" s="46">
        <f t="shared" ref="F284:F309" si="24">+D284-E284</f>
        <v>-178.29556608655651</v>
      </c>
      <c r="G284" s="20">
        <f t="shared" si="22"/>
        <v>-0.36952109633094166</v>
      </c>
      <c r="H284" s="7"/>
    </row>
    <row r="285" spans="1:8" x14ac:dyDescent="0.25">
      <c r="A285" s="6"/>
      <c r="B285" s="17" t="s">
        <v>9</v>
      </c>
      <c r="C285" s="18">
        <v>2015</v>
      </c>
      <c r="D285" s="46">
        <v>489.35175358773984</v>
      </c>
      <c r="E285" s="46">
        <v>660.79999657103576</v>
      </c>
      <c r="F285" s="46">
        <f t="shared" si="24"/>
        <v>-171.44824298329593</v>
      </c>
      <c r="G285" s="20">
        <f t="shared" si="22"/>
        <v>-0.35035788004498403</v>
      </c>
      <c r="H285" s="7"/>
    </row>
    <row r="286" spans="1:8" x14ac:dyDescent="0.25">
      <c r="A286" s="6"/>
      <c r="B286" s="17" t="s">
        <v>11</v>
      </c>
      <c r="C286" s="18">
        <v>2015</v>
      </c>
      <c r="D286" s="46">
        <v>486.06244732388785</v>
      </c>
      <c r="E286" s="46">
        <v>660.79999650524883</v>
      </c>
      <c r="F286" s="46">
        <f t="shared" si="24"/>
        <v>-174.73754918136098</v>
      </c>
      <c r="G286" s="20">
        <f t="shared" si="22"/>
        <v>-0.359496089737878</v>
      </c>
      <c r="H286" s="7"/>
    </row>
    <row r="287" spans="1:8" x14ac:dyDescent="0.25">
      <c r="A287" s="6"/>
      <c r="B287" s="17" t="s">
        <v>3</v>
      </c>
      <c r="C287" s="18">
        <v>2015</v>
      </c>
      <c r="D287" s="46">
        <v>484.05874405478386</v>
      </c>
      <c r="E287" s="46">
        <v>660.79999646517513</v>
      </c>
      <c r="F287" s="46">
        <f t="shared" si="24"/>
        <v>-176.74125241039127</v>
      </c>
      <c r="G287" s="20">
        <f t="shared" si="22"/>
        <v>-0.36512356109899835</v>
      </c>
      <c r="H287" s="7"/>
    </row>
    <row r="288" spans="1:8" x14ac:dyDescent="0.25">
      <c r="A288" s="6"/>
      <c r="B288" s="17" t="s">
        <v>12</v>
      </c>
      <c r="C288" s="18">
        <v>2015</v>
      </c>
      <c r="D288" s="46">
        <v>485.24334576351328</v>
      </c>
      <c r="E288" s="46">
        <v>660.79999648886701</v>
      </c>
      <c r="F288" s="46">
        <f t="shared" si="24"/>
        <v>-175.55665072535373</v>
      </c>
      <c r="G288" s="20">
        <f t="shared" si="22"/>
        <v>-0.36179094934134859</v>
      </c>
      <c r="H288" s="7"/>
    </row>
    <row r="289" spans="1:11" x14ac:dyDescent="0.25">
      <c r="A289" s="6"/>
      <c r="B289" s="17" t="s">
        <v>5</v>
      </c>
      <c r="C289" s="18">
        <v>2016</v>
      </c>
      <c r="D289" s="46">
        <v>487.64834453946798</v>
      </c>
      <c r="E289" s="46">
        <v>683.1999960889666</v>
      </c>
      <c r="F289" s="46">
        <f t="shared" si="24"/>
        <v>-195.55165154949862</v>
      </c>
      <c r="G289" s="20">
        <f t="shared" si="22"/>
        <v>-0.40100956711783031</v>
      </c>
      <c r="H289" s="7"/>
    </row>
    <row r="290" spans="1:11" x14ac:dyDescent="0.25">
      <c r="A290" s="6"/>
      <c r="B290" s="17" t="s">
        <v>17</v>
      </c>
      <c r="C290" s="18">
        <v>2016</v>
      </c>
      <c r="D290" s="46">
        <v>491.46001597755173</v>
      </c>
      <c r="E290" s="46">
        <v>683.1999960889666</v>
      </c>
      <c r="F290" s="46">
        <f>+D290-E290</f>
        <v>-191.73998011141487</v>
      </c>
      <c r="G290" s="20">
        <f t="shared" si="22"/>
        <v>-0.39014360045146157</v>
      </c>
      <c r="H290" s="7"/>
    </row>
    <row r="291" spans="1:11" x14ac:dyDescent="0.25">
      <c r="A291" s="8"/>
      <c r="B291" s="17" t="s">
        <v>6</v>
      </c>
      <c r="C291" s="18">
        <v>2016</v>
      </c>
      <c r="D291" s="19">
        <v>492.25539336142072</v>
      </c>
      <c r="E291" s="19">
        <v>683.19999618110842</v>
      </c>
      <c r="F291" s="19">
        <f t="shared" si="24"/>
        <v>-190.9446028196877</v>
      </c>
      <c r="G291" s="20">
        <f t="shared" si="22"/>
        <v>-0.38789743168846003</v>
      </c>
      <c r="H291" s="7"/>
      <c r="I291" s="7"/>
      <c r="J291" s="9"/>
    </row>
    <row r="292" spans="1:11" x14ac:dyDescent="0.25">
      <c r="A292" s="8"/>
      <c r="B292" s="17" t="s">
        <v>16</v>
      </c>
      <c r="C292" s="18">
        <v>2016</v>
      </c>
      <c r="D292" s="19">
        <v>494.57130164713413</v>
      </c>
      <c r="E292" s="19">
        <v>683.19999622742637</v>
      </c>
      <c r="F292" s="19">
        <f t="shared" si="24"/>
        <v>-188.62869458029223</v>
      </c>
      <c r="G292" s="20">
        <f t="shared" si="22"/>
        <v>-0.38139838270453208</v>
      </c>
      <c r="H292" s="7"/>
      <c r="I292" s="7"/>
      <c r="J292" s="9"/>
    </row>
    <row r="293" spans="1:11" x14ac:dyDescent="0.25">
      <c r="A293" s="8"/>
      <c r="B293" s="17" t="s">
        <v>10</v>
      </c>
      <c r="C293" s="18">
        <v>2016</v>
      </c>
      <c r="D293" s="19">
        <v>496.06045238385178</v>
      </c>
      <c r="E293" s="19">
        <v>683.19999625720902</v>
      </c>
      <c r="F293" s="19">
        <f t="shared" si="24"/>
        <v>-187.13954387335724</v>
      </c>
      <c r="G293" s="20">
        <f t="shared" si="22"/>
        <v>-0.37725148814836096</v>
      </c>
      <c r="H293" s="7"/>
      <c r="I293" s="7"/>
      <c r="J293" s="9"/>
    </row>
    <row r="294" spans="1:11" x14ac:dyDescent="0.25">
      <c r="A294" s="8"/>
      <c r="B294" s="17" t="s">
        <v>8</v>
      </c>
      <c r="C294" s="18">
        <v>2016</v>
      </c>
      <c r="D294" s="19">
        <v>496.46427262013901</v>
      </c>
      <c r="E294" s="19">
        <v>683.19999626528579</v>
      </c>
      <c r="F294" s="19">
        <f t="shared" si="24"/>
        <v>-186.73572364514678</v>
      </c>
      <c r="G294" s="20">
        <f t="shared" si="22"/>
        <v>-0.37613124235432016</v>
      </c>
      <c r="H294" s="7"/>
      <c r="I294" s="7"/>
      <c r="J294" s="9"/>
    </row>
    <row r="295" spans="1:11" x14ac:dyDescent="0.25">
      <c r="A295" s="8"/>
      <c r="B295" s="17" t="s">
        <v>4</v>
      </c>
      <c r="C295" s="18">
        <v>2016</v>
      </c>
      <c r="D295" s="19">
        <v>494.34514626211688</v>
      </c>
      <c r="E295" s="19">
        <v>683.19999622290345</v>
      </c>
      <c r="F295" s="19">
        <f t="shared" si="24"/>
        <v>-188.85484996078657</v>
      </c>
      <c r="G295" s="20">
        <f t="shared" si="22"/>
        <v>-0.38203035144326059</v>
      </c>
      <c r="H295" s="7"/>
      <c r="I295" s="7"/>
      <c r="J295" s="9"/>
    </row>
    <row r="296" spans="1:11" x14ac:dyDescent="0.25">
      <c r="A296" s="10"/>
      <c r="B296" s="17" t="s">
        <v>7</v>
      </c>
      <c r="C296" s="18">
        <v>2016</v>
      </c>
      <c r="D296" s="19">
        <v>495.30750327965683</v>
      </c>
      <c r="E296" s="19">
        <v>683.1999962421495</v>
      </c>
      <c r="F296" s="19">
        <f t="shared" si="24"/>
        <v>-187.89249296249267</v>
      </c>
      <c r="G296" s="20">
        <f t="shared" si="22"/>
        <v>-0.37934513755267346</v>
      </c>
      <c r="H296" s="7"/>
      <c r="I296" s="7"/>
      <c r="J296" s="9"/>
    </row>
    <row r="297" spans="1:11" x14ac:dyDescent="0.25">
      <c r="A297" s="8"/>
      <c r="B297" s="17" t="s">
        <v>9</v>
      </c>
      <c r="C297" s="18">
        <v>2016</v>
      </c>
      <c r="D297" s="19">
        <v>497.11711443901686</v>
      </c>
      <c r="E297" s="19">
        <v>683.1999962783417</v>
      </c>
      <c r="F297" s="19">
        <f t="shared" si="24"/>
        <v>-186.08288183932484</v>
      </c>
      <c r="G297" s="20">
        <f t="shared" si="22"/>
        <v>-0.37432403036317569</v>
      </c>
      <c r="H297" s="7"/>
      <c r="I297" s="7"/>
      <c r="J297" s="9"/>
    </row>
    <row r="298" spans="1:11" x14ac:dyDescent="0.25">
      <c r="A298" s="8"/>
      <c r="B298" s="17" t="s">
        <v>11</v>
      </c>
      <c r="C298" s="18">
        <v>2016</v>
      </c>
      <c r="D298" s="19">
        <v>496.52623603110129</v>
      </c>
      <c r="E298" s="19">
        <v>683.19999626652418</v>
      </c>
      <c r="F298" s="19">
        <f t="shared" si="24"/>
        <v>-186.67376023542289</v>
      </c>
      <c r="G298" s="20">
        <f t="shared" si="22"/>
        <v>-0.37595950966774305</v>
      </c>
      <c r="H298" s="1"/>
      <c r="I298" s="7"/>
      <c r="J298" s="9"/>
      <c r="K298" s="9"/>
    </row>
    <row r="299" spans="1:11" x14ac:dyDescent="0.25">
      <c r="A299" s="8"/>
      <c r="B299" s="17" t="s">
        <v>3</v>
      </c>
      <c r="C299" s="18">
        <v>2016</v>
      </c>
      <c r="D299" s="19">
        <v>497.34520285118202</v>
      </c>
      <c r="E299" s="19">
        <v>683.19999628290407</v>
      </c>
      <c r="F299" s="19">
        <f t="shared" si="24"/>
        <v>-185.85479343172204</v>
      </c>
      <c r="G299" s="20">
        <f t="shared" si="22"/>
        <v>-0.37369374906252867</v>
      </c>
      <c r="H299" s="1"/>
      <c r="I299" s="7"/>
      <c r="J299" s="9"/>
    </row>
    <row r="300" spans="1:11" x14ac:dyDescent="0.25">
      <c r="A300" s="8"/>
      <c r="B300" s="17" t="s">
        <v>12</v>
      </c>
      <c r="C300" s="18">
        <v>2016</v>
      </c>
      <c r="D300" s="19">
        <v>506.89997592045023</v>
      </c>
      <c r="E300" s="19">
        <v>683.19999647399902</v>
      </c>
      <c r="F300" s="19">
        <f t="shared" si="24"/>
        <v>-176.30002055354879</v>
      </c>
      <c r="G300" s="20">
        <f t="shared" si="22"/>
        <v>-0.34780041216892116</v>
      </c>
      <c r="H300" s="1"/>
      <c r="I300" s="7"/>
    </row>
    <row r="301" spans="1:11" x14ac:dyDescent="0.25">
      <c r="A301" s="8"/>
      <c r="B301" s="17" t="s">
        <v>5</v>
      </c>
      <c r="C301" s="18">
        <v>2017</v>
      </c>
      <c r="D301" s="19">
        <v>503.27039564685424</v>
      </c>
      <c r="E301" s="19">
        <v>699.99999606540791</v>
      </c>
      <c r="F301" s="19">
        <f t="shared" si="24"/>
        <v>-196.72960041855367</v>
      </c>
      <c r="G301" s="20">
        <f t="shared" si="22"/>
        <v>-0.39090238988863391</v>
      </c>
      <c r="H301" s="1"/>
      <c r="I301" s="7"/>
      <c r="J301" s="9"/>
    </row>
    <row r="302" spans="1:11" x14ac:dyDescent="0.25">
      <c r="A302" s="8"/>
      <c r="B302" s="17" t="s">
        <v>17</v>
      </c>
      <c r="C302" s="18">
        <v>2017</v>
      </c>
      <c r="D302" s="19">
        <v>510.19125472733123</v>
      </c>
      <c r="E302" s="19">
        <v>699.99999620382516</v>
      </c>
      <c r="F302" s="19">
        <f t="shared" si="24"/>
        <v>-189.80874147649394</v>
      </c>
      <c r="G302" s="20">
        <f t="shared" si="22"/>
        <v>-0.37203448651415266</v>
      </c>
      <c r="H302" s="1"/>
      <c r="I302" s="7"/>
      <c r="J302" s="9"/>
    </row>
    <row r="303" spans="1:11" x14ac:dyDescent="0.25">
      <c r="A303" s="8"/>
      <c r="B303" s="17" t="s">
        <v>6</v>
      </c>
      <c r="C303" s="18">
        <v>2017</v>
      </c>
      <c r="D303" s="19">
        <v>508.27454656773278</v>
      </c>
      <c r="E303" s="19">
        <v>699.99999616549076</v>
      </c>
      <c r="F303" s="19">
        <f t="shared" si="24"/>
        <v>-191.72544959775797</v>
      </c>
      <c r="G303" s="20">
        <f t="shared" si="22"/>
        <v>-0.37720844156457989</v>
      </c>
      <c r="H303" s="1"/>
      <c r="I303" s="7"/>
      <c r="J303" s="9"/>
    </row>
    <row r="304" spans="1:11" x14ac:dyDescent="0.25">
      <c r="A304" s="8"/>
      <c r="B304" s="17" t="s">
        <v>16</v>
      </c>
      <c r="C304" s="18">
        <v>2017</v>
      </c>
      <c r="D304" s="19">
        <v>502.79068364219216</v>
      </c>
      <c r="E304" s="19">
        <v>699.99999605581388</v>
      </c>
      <c r="F304" s="19">
        <f t="shared" si="24"/>
        <v>-197.20931241362172</v>
      </c>
      <c r="G304" s="20">
        <f t="shared" si="22"/>
        <v>-0.39222944821699302</v>
      </c>
      <c r="H304" s="1"/>
      <c r="I304" s="7"/>
      <c r="J304" s="9"/>
    </row>
    <row r="305" spans="1:10" x14ac:dyDescent="0.25">
      <c r="A305" s="8"/>
      <c r="B305" s="17" t="s">
        <v>10</v>
      </c>
      <c r="C305" s="18">
        <v>2017</v>
      </c>
      <c r="D305" s="19">
        <v>507.46902172233416</v>
      </c>
      <c r="E305" s="19">
        <v>699.99999614938019</v>
      </c>
      <c r="F305" s="19">
        <f t="shared" si="24"/>
        <v>-192.53097442704603</v>
      </c>
      <c r="G305" s="20">
        <f t="shared" si="22"/>
        <v>-0.37939453678098783</v>
      </c>
      <c r="H305" s="1"/>
      <c r="I305" s="7"/>
      <c r="J305" s="9"/>
    </row>
    <row r="306" spans="1:10" x14ac:dyDescent="0.25">
      <c r="A306" s="26" t="s">
        <v>31</v>
      </c>
      <c r="B306" s="28" t="s">
        <v>8</v>
      </c>
      <c r="C306" s="29">
        <v>2017</v>
      </c>
      <c r="D306" s="30">
        <v>499.93681934961734</v>
      </c>
      <c r="E306" s="30">
        <v>699.99999599873661</v>
      </c>
      <c r="F306" s="30">
        <f t="shared" si="24"/>
        <v>-200.06317664911927</v>
      </c>
      <c r="G306" s="31">
        <f t="shared" si="22"/>
        <v>-0.40017692017440804</v>
      </c>
      <c r="H306" s="1"/>
      <c r="I306" s="7"/>
      <c r="J306" s="9"/>
    </row>
    <row r="307" spans="1:10" x14ac:dyDescent="0.25">
      <c r="A307" s="27"/>
      <c r="B307" s="28" t="s">
        <v>4</v>
      </c>
      <c r="C307" s="29">
        <v>2017</v>
      </c>
      <c r="D307" s="30">
        <v>499.62184493528042</v>
      </c>
      <c r="E307" s="30">
        <v>699.99999599243699</v>
      </c>
      <c r="F307" s="30">
        <f t="shared" si="24"/>
        <v>-200.37815105715657</v>
      </c>
      <c r="G307" s="31">
        <f t="shared" si="22"/>
        <v>-0.40105962757315583</v>
      </c>
      <c r="H307" s="1"/>
      <c r="I307" s="7"/>
      <c r="J307" s="9"/>
    </row>
    <row r="308" spans="1:10" x14ac:dyDescent="0.25">
      <c r="A308" s="27"/>
      <c r="B308" s="28" t="s">
        <v>7</v>
      </c>
      <c r="C308" s="29">
        <v>2017</v>
      </c>
      <c r="D308" s="30">
        <v>500.38116717089594</v>
      </c>
      <c r="E308" s="30">
        <v>699.99999600762305</v>
      </c>
      <c r="F308" s="30">
        <f t="shared" si="24"/>
        <v>-199.61882883672712</v>
      </c>
      <c r="G308" s="31">
        <f t="shared" si="22"/>
        <v>-0.39893353693815381</v>
      </c>
      <c r="H308" s="1"/>
      <c r="I308" s="7"/>
      <c r="J308" s="9"/>
    </row>
    <row r="309" spans="1:10" x14ac:dyDescent="0.25">
      <c r="A309" s="27"/>
      <c r="B309" s="28" t="s">
        <v>9</v>
      </c>
      <c r="C309" s="29">
        <v>2017</v>
      </c>
      <c r="D309" s="30">
        <v>498.70382528876411</v>
      </c>
      <c r="E309" s="30">
        <v>699.99999597407623</v>
      </c>
      <c r="F309" s="30">
        <f t="shared" si="24"/>
        <v>-201.29617068531212</v>
      </c>
      <c r="G309" s="31">
        <f t="shared" si="22"/>
        <v>-0.40363871395763956</v>
      </c>
      <c r="H309" s="1"/>
      <c r="I309" s="7"/>
      <c r="J309" s="9"/>
    </row>
    <row r="310" spans="1:10" x14ac:dyDescent="0.25">
      <c r="A310" s="27"/>
      <c r="B310" s="28" t="s">
        <v>11</v>
      </c>
      <c r="C310" s="29">
        <v>2017</v>
      </c>
      <c r="D310" s="30">
        <v>497.83346409033618</v>
      </c>
      <c r="E310" s="30">
        <v>699.99999595666907</v>
      </c>
      <c r="F310" s="30">
        <f>+D310-E310</f>
        <v>-202.16653186633289</v>
      </c>
      <c r="G310" s="31">
        <f t="shared" si="22"/>
        <v>-0.40609269253472285</v>
      </c>
      <c r="H310" s="1"/>
      <c r="I310" s="7"/>
      <c r="J310" s="9"/>
    </row>
    <row r="311" spans="1:10" x14ac:dyDescent="0.25">
      <c r="A311" s="27"/>
      <c r="B311" s="28" t="s">
        <v>3</v>
      </c>
      <c r="C311" s="29">
        <v>2017</v>
      </c>
      <c r="D311" s="30">
        <v>498.08171484913214</v>
      </c>
      <c r="E311" s="30">
        <v>699.9999959616348</v>
      </c>
      <c r="F311" s="30">
        <f>+D311-E311</f>
        <v>-201.91828111250265</v>
      </c>
      <c r="G311" s="31">
        <f t="shared" si="22"/>
        <v>-0.40539187665956228</v>
      </c>
      <c r="H311" s="1"/>
      <c r="I311" s="7"/>
      <c r="J311" s="9"/>
    </row>
    <row r="312" spans="1:10" x14ac:dyDescent="0.25">
      <c r="A312" s="27"/>
      <c r="B312" s="28" t="s">
        <v>12</v>
      </c>
      <c r="C312" s="29">
        <v>2017</v>
      </c>
      <c r="D312" s="30">
        <v>498.88744417009167</v>
      </c>
      <c r="E312" s="30">
        <v>699.99999597774865</v>
      </c>
      <c r="F312" s="30">
        <v>-201.11255180765698</v>
      </c>
      <c r="G312" s="31">
        <v>-0.40312209528987319</v>
      </c>
      <c r="H312" s="1"/>
      <c r="I312" s="7"/>
      <c r="J312" s="9"/>
    </row>
    <row r="313" spans="1:10" x14ac:dyDescent="0.25">
      <c r="A313" s="27"/>
      <c r="B313" s="28" t="s">
        <v>5</v>
      </c>
      <c r="C313" s="29">
        <v>2018</v>
      </c>
      <c r="D313" s="30">
        <v>502.73546413702934</v>
      </c>
      <c r="E313" s="30">
        <v>720.52999564410925</v>
      </c>
      <c r="F313" s="30">
        <f t="shared" ref="F313:F318" si="25">+D313-E313</f>
        <v>-217.79453150707991</v>
      </c>
      <c r="G313" s="31">
        <f t="shared" ref="G313:G318" si="26">+F313/D313</f>
        <v>-0.43321895319427117</v>
      </c>
      <c r="H313" s="1"/>
      <c r="I313" s="7"/>
      <c r="J313" s="9"/>
    </row>
    <row r="314" spans="1:10" x14ac:dyDescent="0.25">
      <c r="A314" s="27"/>
      <c r="B314" s="28" t="s">
        <v>17</v>
      </c>
      <c r="C314" s="29">
        <v>2018</v>
      </c>
      <c r="D314" s="30">
        <v>500.48639590729277</v>
      </c>
      <c r="E314" s="30">
        <v>720.52999559912826</v>
      </c>
      <c r="F314" s="30">
        <f t="shared" si="25"/>
        <v>-220.04359969183548</v>
      </c>
      <c r="G314" s="31">
        <f t="shared" si="26"/>
        <v>-0.43965950221870786</v>
      </c>
      <c r="H314" s="1"/>
      <c r="I314" s="7"/>
      <c r="J314" s="9"/>
    </row>
    <row r="315" spans="1:10" x14ac:dyDescent="0.25">
      <c r="A315" s="27"/>
      <c r="B315" s="28" t="s">
        <v>6</v>
      </c>
      <c r="C315" s="29">
        <v>2018</v>
      </c>
      <c r="D315" s="30">
        <v>499.78649176231789</v>
      </c>
      <c r="E315" s="30">
        <v>720.52999558513011</v>
      </c>
      <c r="F315" s="30">
        <f t="shared" si="25"/>
        <v>-220.74350382281222</v>
      </c>
      <c r="G315" s="31">
        <f t="shared" si="26"/>
        <v>-0.44167561040803521</v>
      </c>
      <c r="H315" s="1"/>
      <c r="I315" s="7"/>
      <c r="J315" s="9"/>
    </row>
    <row r="316" spans="1:10" x14ac:dyDescent="0.25">
      <c r="A316" s="27"/>
      <c r="B316" s="28" t="s">
        <v>16</v>
      </c>
      <c r="C316" s="29">
        <v>2018</v>
      </c>
      <c r="D316" s="30">
        <v>499.91142812210575</v>
      </c>
      <c r="E316" s="30">
        <v>720.52999558762826</v>
      </c>
      <c r="F316" s="30">
        <f t="shared" si="25"/>
        <v>-220.61856746552252</v>
      </c>
      <c r="G316" s="31">
        <f t="shared" si="26"/>
        <v>-0.44131531118275491</v>
      </c>
      <c r="H316" s="1"/>
      <c r="I316" s="7"/>
      <c r="J316" s="9"/>
    </row>
    <row r="317" spans="1:10" x14ac:dyDescent="0.25">
      <c r="A317" s="27"/>
      <c r="B317" s="28" t="s">
        <v>10</v>
      </c>
      <c r="C317" s="29">
        <v>2018</v>
      </c>
      <c r="D317" s="30">
        <v>498.40004758779907</v>
      </c>
      <c r="E317" s="30">
        <v>720.52999555740053</v>
      </c>
      <c r="F317" s="30">
        <f t="shared" si="25"/>
        <v>-222.12994796960146</v>
      </c>
      <c r="G317" s="31">
        <f t="shared" si="26"/>
        <v>-0.44568604887717361</v>
      </c>
      <c r="H317" s="1"/>
      <c r="I317" s="7"/>
      <c r="J317" s="9"/>
    </row>
    <row r="318" spans="1:10" x14ac:dyDescent="0.25">
      <c r="A318" s="27"/>
      <c r="B318" s="28" t="s">
        <v>8</v>
      </c>
      <c r="C318" s="29">
        <v>2018</v>
      </c>
      <c r="D318" s="30">
        <v>494.60581929421011</v>
      </c>
      <c r="E318" s="30">
        <v>720.52999548151661</v>
      </c>
      <c r="F318" s="30">
        <f t="shared" si="25"/>
        <v>-225.9241761873065</v>
      </c>
      <c r="G318" s="31">
        <f t="shared" si="26"/>
        <v>-0.45677621931277423</v>
      </c>
      <c r="H318" s="1"/>
      <c r="I318" s="7"/>
      <c r="J318" s="9"/>
    </row>
    <row r="319" spans="1:10" x14ac:dyDescent="0.25">
      <c r="A319" s="27"/>
      <c r="B319" s="28" t="s">
        <v>4</v>
      </c>
      <c r="C319" s="29">
        <v>2018</v>
      </c>
      <c r="D319" s="30">
        <v>491.16798941393319</v>
      </c>
      <c r="E319" s="30">
        <v>720.52999541276017</v>
      </c>
      <c r="F319" s="30">
        <f t="shared" ref="F319:F324" si="27">+D319-E319</f>
        <v>-229.36200599882699</v>
      </c>
      <c r="G319" s="31">
        <f t="shared" ref="G319:G324" si="28">+F319/D319</f>
        <v>-0.46697262635642062</v>
      </c>
      <c r="H319" s="1"/>
      <c r="I319" s="7"/>
      <c r="J319" s="9"/>
    </row>
    <row r="320" spans="1:10" x14ac:dyDescent="0.25">
      <c r="A320" s="27"/>
      <c r="B320" s="28" t="s">
        <v>7</v>
      </c>
      <c r="C320" s="29">
        <v>2018</v>
      </c>
      <c r="D320" s="30">
        <v>495.05629007410835</v>
      </c>
      <c r="E320" s="30">
        <v>720.52999549052629</v>
      </c>
      <c r="F320" s="30">
        <f t="shared" si="27"/>
        <v>-225.47370541641794</v>
      </c>
      <c r="G320" s="31">
        <f t="shared" si="28"/>
        <v>-0.45545064255756701</v>
      </c>
      <c r="H320" s="1"/>
      <c r="I320" s="7"/>
      <c r="J320" s="9"/>
    </row>
    <row r="321" spans="1:10" x14ac:dyDescent="0.25">
      <c r="A321" s="27"/>
      <c r="B321" s="28" t="s">
        <v>9</v>
      </c>
      <c r="C321" s="29">
        <v>2018</v>
      </c>
      <c r="D321" s="30">
        <v>498.22258905590616</v>
      </c>
      <c r="E321" s="30">
        <v>720.52999555385145</v>
      </c>
      <c r="F321" s="30">
        <f t="shared" si="27"/>
        <v>-222.30740649794529</v>
      </c>
      <c r="G321" s="31">
        <f t="shared" si="28"/>
        <v>-0.4462009779990122</v>
      </c>
      <c r="H321" s="1"/>
      <c r="I321" s="7"/>
      <c r="J321" s="9"/>
    </row>
    <row r="322" spans="1:10" x14ac:dyDescent="0.25">
      <c r="A322" s="27"/>
      <c r="B322" s="28" t="s">
        <v>11</v>
      </c>
      <c r="C322" s="29">
        <v>2018</v>
      </c>
      <c r="D322" s="30">
        <v>501.02485714414502</v>
      </c>
      <c r="E322" s="30">
        <v>720.52999560989701</v>
      </c>
      <c r="F322" s="30">
        <f t="shared" si="27"/>
        <v>-219.505138465752</v>
      </c>
      <c r="G322" s="31">
        <f t="shared" si="28"/>
        <v>-0.43811227194781732</v>
      </c>
      <c r="H322" s="1"/>
      <c r="I322" s="7"/>
      <c r="J322" s="9"/>
    </row>
    <row r="323" spans="1:10" x14ac:dyDescent="0.25">
      <c r="A323" s="27"/>
      <c r="B323" s="28" t="s">
        <v>3</v>
      </c>
      <c r="C323" s="29">
        <v>2018</v>
      </c>
      <c r="D323" s="30">
        <v>497.99621288599144</v>
      </c>
      <c r="E323" s="30">
        <v>720.52999554932342</v>
      </c>
      <c r="F323" s="30">
        <f t="shared" si="27"/>
        <v>-222.53378266333198</v>
      </c>
      <c r="G323" s="31">
        <f t="shared" si="28"/>
        <v>-0.44685838346782297</v>
      </c>
      <c r="H323" s="1"/>
      <c r="I323" s="7"/>
      <c r="J323" s="9"/>
    </row>
    <row r="324" spans="1:10" x14ac:dyDescent="0.25">
      <c r="A324" s="27"/>
      <c r="B324" s="28" t="s">
        <v>12</v>
      </c>
      <c r="C324" s="29">
        <v>2018</v>
      </c>
      <c r="D324" s="30">
        <v>499.59006762460615</v>
      </c>
      <c r="E324" s="30">
        <v>720.52999558120132</v>
      </c>
      <c r="F324" s="30">
        <f t="shared" si="27"/>
        <v>-220.93992795659517</v>
      </c>
      <c r="G324" s="31">
        <f t="shared" si="28"/>
        <v>-0.44224243489686482</v>
      </c>
      <c r="H324" s="1"/>
      <c r="I324" s="7"/>
      <c r="J324" s="9"/>
    </row>
    <row r="325" spans="1:10" x14ac:dyDescent="0.25">
      <c r="A325" s="27"/>
      <c r="B325" s="28" t="s">
        <v>5</v>
      </c>
      <c r="C325" s="29">
        <v>2019</v>
      </c>
      <c r="D325" s="30">
        <v>503.69587851255631</v>
      </c>
      <c r="E325" s="30">
        <v>735.46999536451756</v>
      </c>
      <c r="F325" s="30">
        <f t="shared" ref="F325:F330" si="29">+D325-E325</f>
        <v>-231.77411685196125</v>
      </c>
      <c r="G325" s="31">
        <f t="shared" ref="G325:G330" si="30">+F325/D325</f>
        <v>-0.46014693933252721</v>
      </c>
      <c r="H325" s="1"/>
      <c r="I325" s="7"/>
      <c r="J325" s="9"/>
    </row>
    <row r="326" spans="1:10" x14ac:dyDescent="0.25">
      <c r="A326" s="27"/>
      <c r="B326" s="28" t="s">
        <v>17</v>
      </c>
      <c r="C326" s="29">
        <v>2019</v>
      </c>
      <c r="D326" s="30">
        <v>500.84857225796554</v>
      </c>
      <c r="E326" s="30">
        <v>735.46999530757125</v>
      </c>
      <c r="F326" s="30">
        <f t="shared" si="29"/>
        <v>-234.62142304960571</v>
      </c>
      <c r="G326" s="31">
        <f t="shared" si="30"/>
        <v>-0.46844782244634675</v>
      </c>
      <c r="H326" s="1"/>
      <c r="I326" s="7"/>
      <c r="J326" s="9"/>
    </row>
    <row r="327" spans="1:10" x14ac:dyDescent="0.25">
      <c r="A327" s="27"/>
      <c r="B327" s="28" t="s">
        <v>6</v>
      </c>
      <c r="C327" s="29">
        <v>2019</v>
      </c>
      <c r="D327" s="30">
        <v>497.99184347582377</v>
      </c>
      <c r="E327" s="30">
        <v>735.4699952504368</v>
      </c>
      <c r="F327" s="30">
        <f t="shared" si="29"/>
        <v>-237.47815177461302</v>
      </c>
      <c r="G327" s="31">
        <f t="shared" si="30"/>
        <v>-0.47687156905440758</v>
      </c>
      <c r="H327" s="1"/>
      <c r="I327" s="7"/>
      <c r="J327" s="9"/>
    </row>
    <row r="328" spans="1:10" x14ac:dyDescent="0.25">
      <c r="A328" s="27"/>
      <c r="B328" s="28" t="s">
        <v>16</v>
      </c>
      <c r="C328" s="29">
        <v>2019</v>
      </c>
      <c r="D328" s="30">
        <v>498.83242524706407</v>
      </c>
      <c r="E328" s="30">
        <v>735.46999526724881</v>
      </c>
      <c r="F328" s="30">
        <f t="shared" si="29"/>
        <v>-236.63757002018474</v>
      </c>
      <c r="G328" s="31">
        <f t="shared" si="30"/>
        <v>-0.47438289502327713</v>
      </c>
      <c r="H328" s="1"/>
      <c r="I328" s="7"/>
      <c r="J328" s="9"/>
    </row>
    <row r="329" spans="1:10" x14ac:dyDescent="0.25">
      <c r="A329" s="27"/>
      <c r="B329" s="28" t="s">
        <v>10</v>
      </c>
      <c r="C329" s="29">
        <v>2019</v>
      </c>
      <c r="D329" s="30">
        <v>499.66258466062857</v>
      </c>
      <c r="E329" s="30">
        <v>735.46999528385231</v>
      </c>
      <c r="F329" s="30">
        <f t="shared" si="29"/>
        <v>-235.80741062322375</v>
      </c>
      <c r="G329" s="31">
        <f t="shared" si="30"/>
        <v>-0.47193329631311981</v>
      </c>
      <c r="H329" s="1"/>
      <c r="I329" s="7"/>
      <c r="J329" s="9"/>
    </row>
    <row r="330" spans="1:10" x14ac:dyDescent="0.25">
      <c r="A330" s="27"/>
      <c r="B330" s="28" t="s">
        <v>8</v>
      </c>
      <c r="C330" s="29">
        <v>2019</v>
      </c>
      <c r="D330" s="30">
        <v>500.11475660286681</v>
      </c>
      <c r="E330" s="30">
        <v>735.46999529289565</v>
      </c>
      <c r="F330" s="30">
        <f t="shared" si="29"/>
        <v>-235.35523869002884</v>
      </c>
      <c r="G330" s="31">
        <f t="shared" si="30"/>
        <v>-0.47060246789902405</v>
      </c>
      <c r="H330" s="1"/>
      <c r="I330" s="7"/>
      <c r="J330" s="9"/>
    </row>
    <row r="331" spans="1:10" x14ac:dyDescent="0.25">
      <c r="A331" s="27"/>
      <c r="B331" s="28" t="s">
        <v>4</v>
      </c>
      <c r="C331" s="29">
        <v>2019</v>
      </c>
      <c r="D331" s="30">
        <v>499.69538923196058</v>
      </c>
      <c r="E331" s="30">
        <v>735.46999528450772</v>
      </c>
      <c r="F331" s="30">
        <f t="shared" ref="F331:F336" si="31">+D331-E331</f>
        <v>-235.77460605254714</v>
      </c>
      <c r="G331" s="31">
        <f t="shared" ref="G331:G336" si="32">+F331/D331</f>
        <v>-0.47183666516302325</v>
      </c>
      <c r="H331" s="1"/>
      <c r="I331" s="7"/>
      <c r="J331" s="9"/>
    </row>
    <row r="332" spans="1:10" x14ac:dyDescent="0.25">
      <c r="A332" s="27"/>
      <c r="B332" s="28" t="s">
        <v>7</v>
      </c>
      <c r="C332" s="29">
        <v>2019</v>
      </c>
      <c r="D332" s="30">
        <v>499.39753626226872</v>
      </c>
      <c r="E332" s="30">
        <v>735.46999527855087</v>
      </c>
      <c r="F332" s="30">
        <f t="shared" si="31"/>
        <v>-236.07245901628215</v>
      </c>
      <c r="G332" s="31">
        <f t="shared" si="32"/>
        <v>-0.47271450472735999</v>
      </c>
      <c r="H332" s="1"/>
      <c r="I332" s="7"/>
      <c r="J332" s="9"/>
    </row>
    <row r="333" spans="1:10" x14ac:dyDescent="0.25">
      <c r="A333" s="27"/>
      <c r="B333" s="28" t="s">
        <v>9</v>
      </c>
      <c r="C333" s="29">
        <v>2019</v>
      </c>
      <c r="D333" s="30">
        <v>500.01244039540535</v>
      </c>
      <c r="E333" s="30">
        <v>735.46999529084883</v>
      </c>
      <c r="F333" s="30">
        <f t="shared" si="31"/>
        <v>-235.45755489544348</v>
      </c>
      <c r="G333" s="31">
        <f t="shared" si="32"/>
        <v>-0.47090339334206516</v>
      </c>
      <c r="H333" s="1"/>
      <c r="I333" s="7"/>
      <c r="J333" s="9"/>
    </row>
    <row r="334" spans="1:10" x14ac:dyDescent="0.25">
      <c r="A334" s="27"/>
      <c r="B334" s="28" t="s">
        <v>11</v>
      </c>
      <c r="C334" s="29">
        <v>2019</v>
      </c>
      <c r="D334" s="30">
        <v>506.96976576016465</v>
      </c>
      <c r="E334" s="30">
        <v>735.46999542999504</v>
      </c>
      <c r="F334" s="30">
        <f t="shared" si="31"/>
        <v>-228.50022966983039</v>
      </c>
      <c r="G334" s="31">
        <f t="shared" si="32"/>
        <v>-0.45071766622455434</v>
      </c>
      <c r="H334" s="1"/>
      <c r="I334" s="7"/>
      <c r="J334" s="9"/>
    </row>
    <row r="335" spans="1:10" x14ac:dyDescent="0.25">
      <c r="A335" s="27"/>
      <c r="B335" s="28" t="s">
        <v>3</v>
      </c>
      <c r="C335" s="29">
        <v>2019</v>
      </c>
      <c r="D335" s="30">
        <v>504.03890603840648</v>
      </c>
      <c r="E335" s="30">
        <v>735.46999537137765</v>
      </c>
      <c r="F335" s="30">
        <f t="shared" si="31"/>
        <v>-231.43108933297117</v>
      </c>
      <c r="G335" s="31">
        <f t="shared" si="32"/>
        <v>-0.45915322519832769</v>
      </c>
      <c r="H335" s="1"/>
      <c r="I335" s="7"/>
      <c r="J335" s="9"/>
    </row>
    <row r="336" spans="1:10" x14ac:dyDescent="0.25">
      <c r="A336" s="27"/>
      <c r="B336" s="28" t="s">
        <v>12</v>
      </c>
      <c r="C336" s="29">
        <v>2019</v>
      </c>
      <c r="D336" s="30">
        <v>506.97307809417794</v>
      </c>
      <c r="E336" s="30">
        <v>735.46999543006143</v>
      </c>
      <c r="F336" s="30">
        <f t="shared" si="31"/>
        <v>-228.4969173358835</v>
      </c>
      <c r="G336" s="31">
        <f t="shared" si="32"/>
        <v>-0.45070818788810857</v>
      </c>
      <c r="H336" s="1"/>
      <c r="I336" s="7"/>
      <c r="J336" s="9"/>
    </row>
    <row r="337" spans="1:10" x14ac:dyDescent="0.25">
      <c r="A337" s="27"/>
      <c r="B337" s="28" t="s">
        <v>5</v>
      </c>
      <c r="C337" s="29">
        <v>2020</v>
      </c>
      <c r="D337" s="30">
        <v>508.52134172269177</v>
      </c>
      <c r="E337" s="30">
        <v>746.66999523702691</v>
      </c>
      <c r="F337" s="30">
        <f t="shared" ref="F337:F342" si="33">+D337-E337</f>
        <v>-238.14865351433514</v>
      </c>
      <c r="G337" s="31">
        <f t="shared" ref="G337:G342" si="34">+F337/D337</f>
        <v>-0.46831594659836911</v>
      </c>
      <c r="H337" s="1"/>
      <c r="I337" s="7"/>
      <c r="J337" s="9"/>
    </row>
    <row r="338" spans="1:10" x14ac:dyDescent="0.25">
      <c r="A338" s="27"/>
      <c r="B338" s="28" t="s">
        <v>17</v>
      </c>
      <c r="C338" s="29">
        <v>2020</v>
      </c>
      <c r="D338" s="30">
        <v>501.60420644990683</v>
      </c>
      <c r="E338" s="30">
        <v>746.66666176541742</v>
      </c>
      <c r="F338" s="30">
        <f t="shared" si="33"/>
        <v>-245.06245531551059</v>
      </c>
      <c r="G338" s="31">
        <f t="shared" si="34"/>
        <v>-0.48855741671293973</v>
      </c>
      <c r="H338" s="1"/>
      <c r="I338" s="7"/>
      <c r="J338" s="9"/>
    </row>
    <row r="339" spans="1:10" x14ac:dyDescent="0.25">
      <c r="A339" s="27"/>
      <c r="B339" s="28" t="s">
        <v>6</v>
      </c>
      <c r="C339" s="29">
        <v>2020</v>
      </c>
      <c r="D339" s="30">
        <v>503.26454371578751</v>
      </c>
      <c r="E339" s="30">
        <v>746.66666179862466</v>
      </c>
      <c r="F339" s="30">
        <f t="shared" si="33"/>
        <v>-243.40211808283715</v>
      </c>
      <c r="G339" s="31">
        <f t="shared" si="34"/>
        <v>-0.48364646610251866</v>
      </c>
      <c r="H339" s="1"/>
      <c r="I339" s="7"/>
      <c r="J339" s="9"/>
    </row>
    <row r="340" spans="1:10" x14ac:dyDescent="0.25">
      <c r="A340" s="27"/>
      <c r="B340" s="28" t="s">
        <v>16</v>
      </c>
      <c r="C340" s="29">
        <v>2020</v>
      </c>
      <c r="D340" s="30">
        <v>515.46744437814561</v>
      </c>
      <c r="E340" s="30">
        <v>746.66666204268222</v>
      </c>
      <c r="F340" s="30">
        <f t="shared" si="33"/>
        <v>-231.1992176645366</v>
      </c>
      <c r="G340" s="31">
        <f t="shared" si="34"/>
        <v>-0.44852341343002339</v>
      </c>
      <c r="H340" s="1"/>
      <c r="I340" s="7"/>
      <c r="J340" s="9"/>
    </row>
    <row r="341" spans="1:10" x14ac:dyDescent="0.25">
      <c r="A341" s="27"/>
      <c r="B341" s="28" t="s">
        <v>10</v>
      </c>
      <c r="C341" s="29">
        <v>2020</v>
      </c>
      <c r="D341" s="30">
        <v>511.59357160528737</v>
      </c>
      <c r="E341" s="30">
        <v>746.66666196520532</v>
      </c>
      <c r="F341" s="30">
        <f t="shared" si="33"/>
        <v>-235.07309035991796</v>
      </c>
      <c r="G341" s="31">
        <f t="shared" si="34"/>
        <v>-0.45949187676909514</v>
      </c>
      <c r="H341" s="1"/>
      <c r="I341" s="7"/>
      <c r="J341" s="9"/>
    </row>
    <row r="342" spans="1:10" x14ac:dyDescent="0.25">
      <c r="A342" s="27"/>
      <c r="B342" s="28" t="s">
        <v>8</v>
      </c>
      <c r="C342" s="29">
        <v>2020</v>
      </c>
      <c r="D342" s="30">
        <v>507.10008853692824</v>
      </c>
      <c r="E342" s="30">
        <v>746.66666187533531</v>
      </c>
      <c r="F342" s="30">
        <f t="shared" si="33"/>
        <v>-239.56657333840707</v>
      </c>
      <c r="G342" s="31">
        <f t="shared" si="34"/>
        <v>-0.47242463323088391</v>
      </c>
      <c r="H342" s="1"/>
      <c r="I342" s="7"/>
      <c r="J342" s="9"/>
    </row>
    <row r="343" spans="1:10" x14ac:dyDescent="0.25">
      <c r="A343" s="27"/>
      <c r="B343" s="28" t="s">
        <v>4</v>
      </c>
      <c r="C343" s="29">
        <v>2020</v>
      </c>
      <c r="D343" s="30">
        <v>503.11839748310712</v>
      </c>
      <c r="E343" s="30">
        <v>746.66666179570143</v>
      </c>
      <c r="F343" s="30">
        <f t="shared" ref="F343:F348" si="35">+D343-E343</f>
        <v>-243.54826431259431</v>
      </c>
      <c r="G343" s="31">
        <f t="shared" ref="G343:G348" si="36">+F343/D343</f>
        <v>-0.48407743690345129</v>
      </c>
      <c r="H343" s="1"/>
      <c r="I343" s="7"/>
      <c r="J343" s="9"/>
    </row>
    <row r="344" spans="1:10" x14ac:dyDescent="0.25">
      <c r="A344" s="27"/>
      <c r="B344" s="28" t="s">
        <v>7</v>
      </c>
      <c r="C344" s="29">
        <v>2020</v>
      </c>
      <c r="D344" s="30">
        <v>502.31574301853374</v>
      </c>
      <c r="E344" s="30">
        <v>746.66666177964817</v>
      </c>
      <c r="F344" s="30">
        <f t="shared" si="35"/>
        <v>-244.35091876111443</v>
      </c>
      <c r="G344" s="31">
        <f t="shared" si="36"/>
        <v>-0.48644885643589852</v>
      </c>
      <c r="H344" s="1"/>
      <c r="I344" s="7"/>
      <c r="J344" s="9"/>
    </row>
    <row r="345" spans="1:10" x14ac:dyDescent="0.25">
      <c r="A345" s="27"/>
      <c r="B345" s="28" t="s">
        <v>9</v>
      </c>
      <c r="C345" s="29">
        <v>2020</v>
      </c>
      <c r="D345" s="30">
        <v>500.90550310594466</v>
      </c>
      <c r="E345" s="30">
        <v>746.66666175144371</v>
      </c>
      <c r="F345" s="30">
        <f t="shared" si="35"/>
        <v>-245.76115864549905</v>
      </c>
      <c r="G345" s="31">
        <f t="shared" si="36"/>
        <v>-0.49063377647404088</v>
      </c>
      <c r="H345" s="1"/>
      <c r="I345" s="7"/>
      <c r="J345" s="9"/>
    </row>
    <row r="346" spans="1:10" x14ac:dyDescent="0.25">
      <c r="A346" s="27"/>
      <c r="B346" s="28" t="s">
        <v>11</v>
      </c>
      <c r="C346" s="29">
        <v>2020</v>
      </c>
      <c r="D346" s="30">
        <v>500.36598227407239</v>
      </c>
      <c r="E346" s="30">
        <v>746.66666174065301</v>
      </c>
      <c r="F346" s="30">
        <f t="shared" si="35"/>
        <v>-246.30067946658062</v>
      </c>
      <c r="G346" s="31">
        <f t="shared" si="36"/>
        <v>-0.49224105593107831</v>
      </c>
      <c r="H346" s="1"/>
      <c r="I346" s="7"/>
      <c r="J346" s="9"/>
    </row>
    <row r="347" spans="1:10" x14ac:dyDescent="0.25">
      <c r="A347" s="27"/>
      <c r="B347" s="28" t="s">
        <v>3</v>
      </c>
      <c r="C347" s="29">
        <v>2020</v>
      </c>
      <c r="D347" s="30">
        <v>501.36580068065552</v>
      </c>
      <c r="E347" s="30">
        <v>746.66666176064973</v>
      </c>
      <c r="F347" s="30">
        <f t="shared" si="35"/>
        <v>-245.30086107999421</v>
      </c>
      <c r="G347" s="31">
        <f t="shared" si="36"/>
        <v>-0.48926524455192816</v>
      </c>
      <c r="H347" s="1"/>
      <c r="I347" s="7"/>
      <c r="J347" s="9"/>
    </row>
    <row r="348" spans="1:10" x14ac:dyDescent="0.25">
      <c r="A348" s="27"/>
      <c r="B348" s="28" t="s">
        <v>12</v>
      </c>
      <c r="C348" s="29">
        <v>2020</v>
      </c>
      <c r="D348" s="30">
        <v>500.79476616876866</v>
      </c>
      <c r="E348" s="30">
        <v>746.66666174922875</v>
      </c>
      <c r="F348" s="30">
        <f t="shared" si="35"/>
        <v>-245.87189558046009</v>
      </c>
      <c r="G348" s="31">
        <f t="shared" si="36"/>
        <v>-0.4909633889775934</v>
      </c>
      <c r="H348" s="1"/>
      <c r="I348" s="7"/>
      <c r="J348" s="9"/>
    </row>
    <row r="349" spans="1:10" x14ac:dyDescent="0.25">
      <c r="A349" s="27"/>
      <c r="B349" s="28" t="s">
        <v>5</v>
      </c>
      <c r="C349" s="29">
        <v>2021</v>
      </c>
      <c r="D349" s="30">
        <v>501.35960301333654</v>
      </c>
      <c r="E349" s="30">
        <v>746.66666176052513</v>
      </c>
      <c r="F349" s="30">
        <f t="shared" ref="F349:F354" si="37">+D349-E349</f>
        <v>-245.30705874718859</v>
      </c>
      <c r="G349" s="31">
        <f t="shared" ref="G349:G354" si="38">+F349/D349</f>
        <v>-0.48928365443249172</v>
      </c>
      <c r="H349" s="1"/>
      <c r="I349" s="7"/>
      <c r="J349" s="9"/>
    </row>
    <row r="350" spans="1:10" x14ac:dyDescent="0.25">
      <c r="A350" s="27"/>
      <c r="B350" s="28" t="s">
        <v>17</v>
      </c>
      <c r="C350" s="29">
        <v>2021</v>
      </c>
      <c r="D350" s="30">
        <v>501.28172539576968</v>
      </c>
      <c r="E350" s="30">
        <v>746.6666617589683</v>
      </c>
      <c r="F350" s="30">
        <f t="shared" si="37"/>
        <v>-245.38493636319862</v>
      </c>
      <c r="G350" s="31">
        <f t="shared" si="38"/>
        <v>-0.48951502504796762</v>
      </c>
      <c r="H350" s="1"/>
      <c r="I350" s="7"/>
      <c r="J350" s="9"/>
    </row>
    <row r="351" spans="1:10" x14ac:dyDescent="0.25">
      <c r="A351" s="27"/>
      <c r="B351" s="28" t="s">
        <v>6</v>
      </c>
      <c r="C351" s="29">
        <v>2021</v>
      </c>
      <c r="D351" s="30">
        <v>501.1681015195515</v>
      </c>
      <c r="E351" s="30">
        <v>746.66666175669525</v>
      </c>
      <c r="F351" s="30">
        <f t="shared" si="37"/>
        <v>-245.49856023714375</v>
      </c>
      <c r="G351" s="31">
        <f t="shared" si="38"/>
        <v>-0.48985272504931443</v>
      </c>
      <c r="H351" s="1"/>
      <c r="I351" s="7"/>
      <c r="J351" s="9"/>
    </row>
    <row r="352" spans="1:10" x14ac:dyDescent="0.25">
      <c r="A352" s="27"/>
      <c r="B352" s="28" t="s">
        <v>16</v>
      </c>
      <c r="C352" s="29">
        <v>2021</v>
      </c>
      <c r="D352" s="30">
        <v>501.78511045400694</v>
      </c>
      <c r="E352" s="30">
        <v>746.66666176903573</v>
      </c>
      <c r="F352" s="30">
        <f t="shared" si="37"/>
        <v>-244.88155131502879</v>
      </c>
      <c r="G352" s="31">
        <f t="shared" si="38"/>
        <v>-0.48802076070663791</v>
      </c>
      <c r="H352" s="1"/>
      <c r="I352" s="7"/>
      <c r="J352" s="9"/>
    </row>
    <row r="353" spans="1:10" ht="13.5" customHeight="1" x14ac:dyDescent="0.5">
      <c r="A353" s="27"/>
      <c r="B353" s="28" t="s">
        <v>10</v>
      </c>
      <c r="C353" s="29">
        <v>2021</v>
      </c>
      <c r="D353" s="30">
        <v>501.51186719978062</v>
      </c>
      <c r="E353" s="30">
        <v>746.66666176357148</v>
      </c>
      <c r="F353" s="30">
        <f t="shared" si="37"/>
        <v>-245.15479456379086</v>
      </c>
      <c r="G353" s="31">
        <f t="shared" si="38"/>
        <v>-0.48883149252803582</v>
      </c>
      <c r="H353" s="1"/>
      <c r="I353" s="7"/>
      <c r="J353" s="14"/>
    </row>
    <row r="354" spans="1:10" ht="16.5" customHeight="1" x14ac:dyDescent="0.5">
      <c r="A354" s="16" t="s">
        <v>46</v>
      </c>
      <c r="B354" s="17" t="s">
        <v>8</v>
      </c>
      <c r="C354" s="18">
        <v>2021</v>
      </c>
      <c r="D354" s="19">
        <v>499.89275809473821</v>
      </c>
      <c r="E354" s="19">
        <v>746.66666173118892</v>
      </c>
      <c r="F354" s="19">
        <f t="shared" si="37"/>
        <v>-246.77390363645071</v>
      </c>
      <c r="G354" s="20">
        <f t="shared" si="38"/>
        <v>-0.493653687996982</v>
      </c>
      <c r="H354" s="1"/>
      <c r="I354" s="7"/>
      <c r="J354" s="14"/>
    </row>
    <row r="355" spans="1:10" ht="16.5" customHeight="1" x14ac:dyDescent="0.5">
      <c r="A355" s="16"/>
      <c r="B355" s="17" t="s">
        <v>4</v>
      </c>
      <c r="C355" s="18">
        <v>2021</v>
      </c>
      <c r="D355" s="19">
        <v>501.25057125704939</v>
      </c>
      <c r="E355" s="19">
        <v>746.66666175834541</v>
      </c>
      <c r="F355" s="19">
        <f t="shared" ref="F355:F360" si="39">+D355-E355</f>
        <v>-245.41609050129603</v>
      </c>
      <c r="G355" s="20">
        <f t="shared" ref="G355:G360" si="40">+F355/D355</f>
        <v>-0.48960760261247199</v>
      </c>
      <c r="H355" s="1"/>
      <c r="I355" s="7"/>
      <c r="J355" s="14"/>
    </row>
    <row r="356" spans="1:10" ht="16.5" customHeight="1" x14ac:dyDescent="0.5">
      <c r="A356" s="16"/>
      <c r="B356" s="17" t="s">
        <v>7</v>
      </c>
      <c r="C356" s="18">
        <v>2021</v>
      </c>
      <c r="D356" s="19">
        <v>502.35290607926231</v>
      </c>
      <c r="E356" s="19">
        <v>746.66666178039236</v>
      </c>
      <c r="F356" s="19">
        <f t="shared" si="39"/>
        <v>-244.31375570113005</v>
      </c>
      <c r="G356" s="20">
        <f t="shared" si="40"/>
        <v>-0.48633889193144569</v>
      </c>
      <c r="H356" s="1"/>
      <c r="I356" s="7"/>
      <c r="J356" s="14"/>
    </row>
    <row r="357" spans="1:10" ht="16.5" customHeight="1" x14ac:dyDescent="0.5">
      <c r="A357" s="16"/>
      <c r="B357" s="17" t="s">
        <v>9</v>
      </c>
      <c r="C357" s="18">
        <v>2021</v>
      </c>
      <c r="D357" s="19">
        <v>502.89776304031841</v>
      </c>
      <c r="E357" s="19">
        <v>746.66666179128879</v>
      </c>
      <c r="F357" s="19">
        <f t="shared" si="39"/>
        <v>-243.76889875097038</v>
      </c>
      <c r="G357" s="20">
        <f t="shared" si="40"/>
        <v>-0.48472854060284792</v>
      </c>
      <c r="H357" s="1"/>
      <c r="I357" s="7"/>
      <c r="J357" s="14"/>
    </row>
    <row r="358" spans="1:10" ht="16.5" customHeight="1" x14ac:dyDescent="0.5">
      <c r="A358" s="16"/>
      <c r="B358" s="17" t="s">
        <v>11</v>
      </c>
      <c r="C358" s="18">
        <v>2021</v>
      </c>
      <c r="D358" s="19">
        <v>504.40449595780808</v>
      </c>
      <c r="E358" s="19">
        <v>746.6666618214233</v>
      </c>
      <c r="F358" s="19">
        <f t="shared" si="39"/>
        <v>-242.26216586361522</v>
      </c>
      <c r="G358" s="20">
        <f t="shared" si="40"/>
        <v>-0.48029343077838016</v>
      </c>
      <c r="H358" s="1"/>
      <c r="I358" s="7"/>
      <c r="J358" s="14"/>
    </row>
    <row r="359" spans="1:10" ht="16.5" customHeight="1" x14ac:dyDescent="0.5">
      <c r="A359" s="16"/>
      <c r="B359" s="17" t="s">
        <v>3</v>
      </c>
      <c r="C359" s="18">
        <v>2021</v>
      </c>
      <c r="D359" s="19">
        <v>505.32045249095711</v>
      </c>
      <c r="E359" s="19">
        <v>746.66666183974291</v>
      </c>
      <c r="F359" s="19">
        <f t="shared" si="39"/>
        <v>-241.34620934878581</v>
      </c>
      <c r="G359" s="20">
        <f t="shared" si="40"/>
        <v>-0.47761021379419583</v>
      </c>
      <c r="H359" s="1"/>
      <c r="I359" s="7"/>
      <c r="J359" s="14"/>
    </row>
    <row r="360" spans="1:10" ht="16.5" customHeight="1" x14ac:dyDescent="0.5">
      <c r="A360" s="16"/>
      <c r="B360" s="17" t="s">
        <v>12</v>
      </c>
      <c r="C360" s="18">
        <v>2021</v>
      </c>
      <c r="D360" s="19">
        <v>509.8260818133931</v>
      </c>
      <c r="E360" s="19">
        <v>746.66666192985554</v>
      </c>
      <c r="F360" s="19">
        <f t="shared" si="39"/>
        <v>-236.84058011646243</v>
      </c>
      <c r="G360" s="20">
        <f t="shared" si="40"/>
        <v>-0.4645517139375207</v>
      </c>
      <c r="H360" s="1"/>
      <c r="I360" s="7"/>
      <c r="J360" s="14"/>
    </row>
    <row r="361" spans="1:10" ht="16.5" customHeight="1" x14ac:dyDescent="0.5">
      <c r="A361" s="16"/>
      <c r="B361" s="17" t="s">
        <v>5</v>
      </c>
      <c r="C361" s="18">
        <v>2022</v>
      </c>
      <c r="D361" s="19">
        <v>513.99848939352341</v>
      </c>
      <c r="E361" s="19">
        <v>793.32989441337179</v>
      </c>
      <c r="F361" s="19">
        <f t="shared" ref="F361:F366" si="41">+D361-E361</f>
        <v>-279.33140501984838</v>
      </c>
      <c r="G361" s="20">
        <f t="shared" ref="G361:G366" si="42">+F361/D361</f>
        <v>-0.54344791041980844</v>
      </c>
      <c r="H361" s="1"/>
      <c r="I361" s="7"/>
      <c r="J361" s="14"/>
    </row>
    <row r="362" spans="1:10" ht="16.5" customHeight="1" x14ac:dyDescent="0.5">
      <c r="A362" s="16"/>
      <c r="B362" s="17" t="s">
        <v>17</v>
      </c>
      <c r="C362" s="18">
        <v>2022</v>
      </c>
      <c r="D362" s="19">
        <v>514.20495236127488</v>
      </c>
      <c r="E362" s="19">
        <v>793.32989441750112</v>
      </c>
      <c r="F362" s="19">
        <f t="shared" si="41"/>
        <v>-279.12494205622625</v>
      </c>
      <c r="G362" s="20">
        <f t="shared" si="42"/>
        <v>-0.54282818703798885</v>
      </c>
      <c r="H362" s="1"/>
      <c r="I362" s="7"/>
      <c r="J362" s="14"/>
    </row>
    <row r="363" spans="1:10" ht="16.5" customHeight="1" x14ac:dyDescent="0.5">
      <c r="A363" s="16"/>
      <c r="B363" s="17" t="s">
        <v>6</v>
      </c>
      <c r="C363" s="18">
        <v>2022</v>
      </c>
      <c r="D363" s="19">
        <v>514.6415215935026</v>
      </c>
      <c r="E363" s="19">
        <v>793.32989442623216</v>
      </c>
      <c r="F363" s="19">
        <f t="shared" si="41"/>
        <v>-278.68837283272956</v>
      </c>
      <c r="G363" s="20">
        <f t="shared" si="42"/>
        <v>-0.54151940941301624</v>
      </c>
      <c r="H363" s="1"/>
      <c r="I363" s="7"/>
      <c r="J363" s="14"/>
    </row>
    <row r="364" spans="1:10" ht="16.5" customHeight="1" x14ac:dyDescent="0.5">
      <c r="A364" s="16"/>
      <c r="B364" s="17" t="s">
        <v>16</v>
      </c>
      <c r="C364" s="18">
        <v>2022</v>
      </c>
      <c r="D364" s="19">
        <v>516.15654823386762</v>
      </c>
      <c r="E364" s="19">
        <v>793.32989445653311</v>
      </c>
      <c r="F364" s="19">
        <f t="shared" si="41"/>
        <v>-277.17334622266549</v>
      </c>
      <c r="G364" s="20">
        <f t="shared" si="42"/>
        <v>-0.53699472993429853</v>
      </c>
      <c r="H364" s="1"/>
      <c r="I364" s="7"/>
      <c r="J364" s="14"/>
    </row>
    <row r="365" spans="1:10" ht="16.5" customHeight="1" x14ac:dyDescent="0.5">
      <c r="A365" s="16"/>
      <c r="B365" s="17" t="s">
        <v>10</v>
      </c>
      <c r="C365" s="18">
        <v>2022</v>
      </c>
      <c r="D365" s="19">
        <v>522.70241983717324</v>
      </c>
      <c r="E365" s="19">
        <v>793.32989458745055</v>
      </c>
      <c r="F365" s="19">
        <f t="shared" si="41"/>
        <v>-270.62747475027732</v>
      </c>
      <c r="G365" s="20">
        <f t="shared" si="42"/>
        <v>-0.51774674170167478</v>
      </c>
      <c r="H365" s="1"/>
      <c r="I365" s="7"/>
      <c r="J365" s="14"/>
    </row>
    <row r="366" spans="1:10" ht="16.5" customHeight="1" x14ac:dyDescent="0.5">
      <c r="A366" s="16"/>
      <c r="B366" s="17" t="s">
        <v>8</v>
      </c>
      <c r="C366" s="18">
        <v>2022</v>
      </c>
      <c r="D366" s="19">
        <v>529.06727256238901</v>
      </c>
      <c r="E366" s="19">
        <v>793.32989471474764</v>
      </c>
      <c r="F366" s="19">
        <f t="shared" si="41"/>
        <v>-264.26262215235863</v>
      </c>
      <c r="G366" s="20">
        <f t="shared" si="42"/>
        <v>-0.49948775109916876</v>
      </c>
      <c r="H366" s="1"/>
      <c r="I366" s="7"/>
      <c r="J366" s="14"/>
    </row>
    <row r="367" spans="1:10" ht="16.5" customHeight="1" x14ac:dyDescent="0.5">
      <c r="A367" s="16"/>
      <c r="B367" s="17" t="s">
        <v>4</v>
      </c>
      <c r="C367" s="18">
        <v>2022</v>
      </c>
      <c r="D367" s="19">
        <v>530.65395879907067</v>
      </c>
      <c r="E367" s="19">
        <v>793.32989474648093</v>
      </c>
      <c r="F367" s="19">
        <f t="shared" ref="F367:F408" si="43">+D367-E367</f>
        <v>-262.67593594741027</v>
      </c>
      <c r="G367" s="20">
        <f t="shared" ref="G367:G408" si="44">+F367/D367</f>
        <v>-0.49500419546831487</v>
      </c>
      <c r="H367" s="1"/>
      <c r="I367" s="7"/>
      <c r="J367" s="14"/>
    </row>
    <row r="368" spans="1:10" ht="16.5" customHeight="1" x14ac:dyDescent="0.5">
      <c r="A368" s="16"/>
      <c r="B368" s="17" t="s">
        <v>7</v>
      </c>
      <c r="C368" s="18">
        <v>2022</v>
      </c>
      <c r="D368" s="19">
        <v>531.9746110602282</v>
      </c>
      <c r="E368" s="19">
        <v>793.32989477289357</v>
      </c>
      <c r="F368" s="19">
        <f t="shared" si="43"/>
        <v>-261.35528371266537</v>
      </c>
      <c r="G368" s="20">
        <f t="shared" si="44"/>
        <v>-0.49129277653266745</v>
      </c>
      <c r="H368" s="1"/>
      <c r="I368" s="7"/>
      <c r="J368" s="14"/>
    </row>
    <row r="369" spans="1:10" ht="16.5" customHeight="1" x14ac:dyDescent="0.5">
      <c r="A369" s="16"/>
      <c r="B369" s="17" t="s">
        <v>9</v>
      </c>
      <c r="C369" s="18">
        <v>2022</v>
      </c>
      <c r="D369" s="19">
        <v>534.45962623230139</v>
      </c>
      <c r="E369" s="19">
        <v>793.32989482259461</v>
      </c>
      <c r="F369" s="19">
        <f t="shared" si="43"/>
        <v>-258.87026859029322</v>
      </c>
      <c r="G369" s="20">
        <f t="shared" si="44"/>
        <v>-0.48435888490812956</v>
      </c>
      <c r="H369" s="1"/>
      <c r="I369" s="7"/>
      <c r="J369" s="14"/>
    </row>
    <row r="370" spans="1:10" ht="16.5" customHeight="1" x14ac:dyDescent="0.5">
      <c r="A370" s="16"/>
      <c r="B370" s="17" t="s">
        <v>11</v>
      </c>
      <c r="C370" s="18">
        <v>2022</v>
      </c>
      <c r="D370" s="19">
        <v>533.73319904232244</v>
      </c>
      <c r="E370" s="19">
        <v>793.32989480806623</v>
      </c>
      <c r="F370" s="19">
        <f t="shared" si="43"/>
        <v>-259.59669576574379</v>
      </c>
      <c r="G370" s="20">
        <f t="shared" si="44"/>
        <v>-0.48637914267191584</v>
      </c>
      <c r="H370" s="1"/>
      <c r="I370" s="7"/>
      <c r="J370" s="14"/>
    </row>
    <row r="371" spans="1:10" ht="16.5" customHeight="1" x14ac:dyDescent="0.5">
      <c r="A371" s="16"/>
      <c r="B371" s="17" t="s">
        <v>3</v>
      </c>
      <c r="C371" s="18">
        <v>2022</v>
      </c>
      <c r="D371" s="19">
        <v>538.38798567757306</v>
      </c>
      <c r="E371" s="19">
        <v>793.32989490116199</v>
      </c>
      <c r="F371" s="19">
        <f t="shared" si="43"/>
        <v>-254.94190922358894</v>
      </c>
      <c r="G371" s="20">
        <f t="shared" si="44"/>
        <v>-0.47352822872289574</v>
      </c>
      <c r="H371" s="1"/>
      <c r="I371" s="7"/>
      <c r="J371" s="14"/>
    </row>
    <row r="372" spans="1:10" ht="16.5" customHeight="1" x14ac:dyDescent="0.5">
      <c r="A372" s="16"/>
      <c r="B372" s="17" t="s">
        <v>12</v>
      </c>
      <c r="C372" s="18">
        <v>2022</v>
      </c>
      <c r="D372" s="19">
        <v>538.95884843729198</v>
      </c>
      <c r="E372" s="19">
        <v>793.32989491257888</v>
      </c>
      <c r="F372" s="19">
        <f t="shared" si="43"/>
        <v>-254.3710464752869</v>
      </c>
      <c r="G372" s="20">
        <f t="shared" si="44"/>
        <v>-0.47196747434954311</v>
      </c>
      <c r="H372" s="1"/>
      <c r="I372" s="7"/>
      <c r="J372" s="14"/>
    </row>
    <row r="373" spans="1:10" ht="16.5" customHeight="1" x14ac:dyDescent="0.5">
      <c r="A373" s="16"/>
      <c r="B373" s="17" t="s">
        <v>5</v>
      </c>
      <c r="C373" s="18">
        <v>2023</v>
      </c>
      <c r="D373" s="19">
        <v>539.77993119786288</v>
      </c>
      <c r="E373" s="19">
        <v>839.99888097142434</v>
      </c>
      <c r="F373" s="19">
        <f t="shared" si="43"/>
        <v>-300.21894977356146</v>
      </c>
      <c r="G373" s="20">
        <f t="shared" si="44"/>
        <v>-0.55618768394616835</v>
      </c>
      <c r="H373" s="1"/>
      <c r="I373" s="7"/>
      <c r="J373" s="14"/>
    </row>
    <row r="374" spans="1:10" ht="16.5" customHeight="1" x14ac:dyDescent="0.5">
      <c r="A374" s="16"/>
      <c r="B374" s="17" t="s">
        <v>17</v>
      </c>
      <c r="C374" s="18">
        <v>2023</v>
      </c>
      <c r="D374" s="19">
        <v>545.11423194151803</v>
      </c>
      <c r="E374" s="19">
        <v>839.99888097142434</v>
      </c>
      <c r="F374" s="19">
        <f t="shared" si="43"/>
        <v>-294.88464902990631</v>
      </c>
      <c r="G374" s="20">
        <f t="shared" si="44"/>
        <v>-0.54095936548863155</v>
      </c>
      <c r="H374" s="1"/>
      <c r="I374" s="7"/>
      <c r="J374" s="14"/>
    </row>
    <row r="375" spans="1:10" ht="16.5" customHeight="1" x14ac:dyDescent="0.5">
      <c r="A375" s="16"/>
      <c r="B375" s="17" t="s">
        <v>6</v>
      </c>
      <c r="C375" s="18">
        <v>2023</v>
      </c>
      <c r="D375" s="19">
        <v>541.90978700127596</v>
      </c>
      <c r="E375" s="19">
        <v>839.998880971424</v>
      </c>
      <c r="F375" s="19">
        <f t="shared" si="43"/>
        <v>-298.08909397014804</v>
      </c>
      <c r="G375" s="20">
        <f t="shared" si="44"/>
        <v>-0.55007143461951569</v>
      </c>
      <c r="H375" s="1"/>
      <c r="I375" s="7"/>
      <c r="J375" s="14"/>
    </row>
    <row r="376" spans="1:10" ht="16.5" customHeight="1" x14ac:dyDescent="0.5">
      <c r="A376" s="16"/>
      <c r="B376" s="17" t="s">
        <v>16</v>
      </c>
      <c r="C376" s="18">
        <v>2023</v>
      </c>
      <c r="D376" s="19">
        <v>540.79073686806601</v>
      </c>
      <c r="E376" s="19">
        <v>839.998880971424</v>
      </c>
      <c r="F376" s="19">
        <f t="shared" si="43"/>
        <v>-299.20814410335799</v>
      </c>
      <c r="G376" s="20">
        <f t="shared" si="44"/>
        <v>-0.55327897411148574</v>
      </c>
      <c r="H376" s="1"/>
      <c r="I376" s="7"/>
      <c r="J376" s="14"/>
    </row>
    <row r="377" spans="1:10" ht="16.5" customHeight="1" x14ac:dyDescent="0.5">
      <c r="A377" s="16"/>
      <c r="B377" s="17" t="s">
        <v>10</v>
      </c>
      <c r="C377" s="18">
        <v>2023</v>
      </c>
      <c r="D377" s="19">
        <v>538.61420915309384</v>
      </c>
      <c r="E377" s="19">
        <v>839.99888097142434</v>
      </c>
      <c r="F377" s="19">
        <f t="shared" si="43"/>
        <v>-301.3846718183305</v>
      </c>
      <c r="G377" s="20">
        <f t="shared" si="44"/>
        <v>-0.5595557389624416</v>
      </c>
      <c r="H377" s="1"/>
      <c r="I377" s="7"/>
      <c r="J377" s="14"/>
    </row>
    <row r="378" spans="1:10" ht="16.5" customHeight="1" x14ac:dyDescent="0.5">
      <c r="A378" s="16"/>
      <c r="B378" s="17" t="s">
        <v>8</v>
      </c>
      <c r="C378" s="18">
        <v>2023</v>
      </c>
      <c r="D378" s="19">
        <v>542.06283608943443</v>
      </c>
      <c r="E378" s="19">
        <v>839.99888097142434</v>
      </c>
      <c r="F378" s="19">
        <f t="shared" si="43"/>
        <v>-297.93604488198991</v>
      </c>
      <c r="G378" s="20">
        <f t="shared" si="44"/>
        <v>-0.54963377868028884</v>
      </c>
      <c r="H378" s="1"/>
      <c r="I378" s="7"/>
      <c r="J378" s="14"/>
    </row>
    <row r="379" spans="1:10" ht="16.5" customHeight="1" x14ac:dyDescent="0.5">
      <c r="A379" s="16"/>
      <c r="B379" s="17" t="s">
        <v>4</v>
      </c>
      <c r="C379" s="18">
        <v>2023</v>
      </c>
      <c r="D379" s="19">
        <v>546.17963074443821</v>
      </c>
      <c r="E379" s="19">
        <v>839.99888097142434</v>
      </c>
      <c r="F379" s="19">
        <f t="shared" si="43"/>
        <v>-293.81925022698613</v>
      </c>
      <c r="G379" s="20">
        <f t="shared" si="44"/>
        <v>-0.53795351142354575</v>
      </c>
      <c r="H379" s="1"/>
      <c r="I379" s="7"/>
      <c r="J379" s="14"/>
    </row>
    <row r="380" spans="1:10" ht="16.5" customHeight="1" x14ac:dyDescent="0.5">
      <c r="A380" s="16"/>
      <c r="B380" s="17" t="s">
        <v>7</v>
      </c>
      <c r="C380" s="18">
        <v>2023</v>
      </c>
      <c r="D380" s="19">
        <v>553.62164266271702</v>
      </c>
      <c r="E380" s="19">
        <v>839.998880971424</v>
      </c>
      <c r="F380" s="19">
        <f t="shared" si="43"/>
        <v>-286.37723830870698</v>
      </c>
      <c r="G380" s="20">
        <f t="shared" si="44"/>
        <v>-0.5172797019483153</v>
      </c>
      <c r="H380" s="1"/>
      <c r="I380" s="7"/>
      <c r="J380" s="14"/>
    </row>
    <row r="381" spans="1:10" ht="16.5" customHeight="1" x14ac:dyDescent="0.5">
      <c r="A381" s="16"/>
      <c r="B381" s="17" t="s">
        <v>9</v>
      </c>
      <c r="C381" s="18">
        <v>2023</v>
      </c>
      <c r="D381" s="19">
        <v>550.73745280556</v>
      </c>
      <c r="E381" s="19">
        <v>839.998880971424</v>
      </c>
      <c r="F381" s="19">
        <f t="shared" si="43"/>
        <v>-289.261428165864</v>
      </c>
      <c r="G381" s="20">
        <f t="shared" si="44"/>
        <v>-0.52522563463282179</v>
      </c>
      <c r="H381" s="1"/>
      <c r="I381" s="7"/>
      <c r="J381" s="14"/>
    </row>
    <row r="382" spans="1:10" ht="16.5" customHeight="1" x14ac:dyDescent="0.5">
      <c r="A382" s="16"/>
      <c r="B382" s="17" t="s">
        <v>11</v>
      </c>
      <c r="C382" s="18">
        <v>2023</v>
      </c>
      <c r="D382" s="19">
        <v>552.00729872915304</v>
      </c>
      <c r="E382" s="19">
        <v>839.998880971424</v>
      </c>
      <c r="F382" s="19">
        <f t="shared" si="43"/>
        <v>-287.99158224227097</v>
      </c>
      <c r="G382" s="20">
        <f t="shared" si="44"/>
        <v>-0.52171698255674048</v>
      </c>
      <c r="H382" s="1"/>
      <c r="I382" s="7"/>
      <c r="J382" s="14"/>
    </row>
    <row r="383" spans="1:10" ht="16.5" customHeight="1" x14ac:dyDescent="0.5">
      <c r="A383" s="16"/>
      <c r="B383" s="17" t="s">
        <v>3</v>
      </c>
      <c r="C383" s="18">
        <v>2023</v>
      </c>
      <c r="D383" s="19">
        <v>552.024746158639</v>
      </c>
      <c r="E383" s="19">
        <v>839.998880971424</v>
      </c>
      <c r="F383" s="19">
        <f t="shared" si="43"/>
        <v>-287.974134812785</v>
      </c>
      <c r="G383" s="20">
        <f t="shared" si="44"/>
        <v>-0.52166888679665813</v>
      </c>
      <c r="H383" s="1"/>
      <c r="I383" s="7"/>
      <c r="J383" s="14"/>
    </row>
    <row r="384" spans="1:10" ht="16.5" customHeight="1" x14ac:dyDescent="0.5">
      <c r="A384" s="26" t="s">
        <v>47</v>
      </c>
      <c r="B384" s="28" t="s">
        <v>12</v>
      </c>
      <c r="C384" s="29">
        <v>2023</v>
      </c>
      <c r="D384" s="30">
        <v>551.67975092415304</v>
      </c>
      <c r="E384" s="30">
        <v>839.998880971424</v>
      </c>
      <c r="F384" s="30">
        <f>+D384-E384</f>
        <v>-288.31913004727096</v>
      </c>
      <c r="G384" s="31">
        <f>+F384/D384</f>
        <v>-0.52262046878517776</v>
      </c>
      <c r="H384" s="1"/>
      <c r="I384" s="7"/>
      <c r="J384" s="14"/>
    </row>
    <row r="385" spans="1:10" ht="16.5" customHeight="1" x14ac:dyDescent="0.5">
      <c r="A385" s="26"/>
      <c r="B385" s="28" t="s">
        <v>5</v>
      </c>
      <c r="C385" s="29">
        <v>2024</v>
      </c>
      <c r="D385" s="30">
        <v>554.22566863521968</v>
      </c>
      <c r="E385" s="30">
        <v>858.66854098532383</v>
      </c>
      <c r="F385" s="30">
        <f>+D385-E385</f>
        <v>-304.44287235010415</v>
      </c>
      <c r="G385" s="31">
        <f>+F385/D385</f>
        <v>-0.54931211161654514</v>
      </c>
      <c r="H385" s="1"/>
      <c r="I385" s="7"/>
      <c r="J385" s="14"/>
    </row>
    <row r="386" spans="1:10" ht="16.5" customHeight="1" x14ac:dyDescent="0.5">
      <c r="A386" s="26"/>
      <c r="B386" s="28" t="s">
        <v>17</v>
      </c>
      <c r="C386" s="29">
        <v>2024</v>
      </c>
      <c r="D386" s="30">
        <v>555.82063055348374</v>
      </c>
      <c r="E386" s="30">
        <v>858.66854098532383</v>
      </c>
      <c r="F386" s="30">
        <f>+D386-E386</f>
        <v>-302.84791043184009</v>
      </c>
      <c r="G386" s="31">
        <f>+F386/D386</f>
        <v>-0.54486626401446359</v>
      </c>
      <c r="H386" s="1"/>
      <c r="I386" s="7"/>
      <c r="J386" s="14"/>
    </row>
    <row r="387" spans="1:10" ht="16.5" customHeight="1" x14ac:dyDescent="0.5">
      <c r="A387" s="26"/>
      <c r="B387" s="28" t="s">
        <v>6</v>
      </c>
      <c r="C387" s="29">
        <v>2024</v>
      </c>
      <c r="D387" s="30">
        <v>560.14590799589701</v>
      </c>
      <c r="E387" s="30">
        <v>858.66854098532383</v>
      </c>
      <c r="F387" s="30">
        <f t="shared" ref="F387:F407" si="45">+D387-E387</f>
        <v>-298.52263298942682</v>
      </c>
      <c r="G387" s="31">
        <f t="shared" ref="G387:G407" si="46">+F387/D387</f>
        <v>-0.53293727353554721</v>
      </c>
      <c r="H387" s="1"/>
      <c r="I387" s="7"/>
      <c r="J387" s="14"/>
    </row>
    <row r="388" spans="1:10" ht="16.5" customHeight="1" x14ac:dyDescent="0.5">
      <c r="A388" s="26"/>
      <c r="B388" s="28" t="s">
        <v>16</v>
      </c>
      <c r="C388" s="29">
        <v>2024</v>
      </c>
      <c r="D388" s="30">
        <v>559.50820453203039</v>
      </c>
      <c r="E388" s="30">
        <v>858.66854098532383</v>
      </c>
      <c r="F388" s="30">
        <f t="shared" si="45"/>
        <v>-299.16033645329344</v>
      </c>
      <c r="G388" s="31">
        <f t="shared" si="46"/>
        <v>-0.53468444971867657</v>
      </c>
      <c r="H388" s="1"/>
      <c r="I388" s="7"/>
      <c r="J388" s="14"/>
    </row>
    <row r="389" spans="1:10" ht="16.5" customHeight="1" x14ac:dyDescent="0.5">
      <c r="A389" s="26"/>
      <c r="B389" s="28" t="s">
        <v>10</v>
      </c>
      <c r="C389" s="29">
        <v>2024</v>
      </c>
      <c r="D389" s="30">
        <v>560.80538877749837</v>
      </c>
      <c r="E389" s="30">
        <v>858.66854098532383</v>
      </c>
      <c r="F389" s="30">
        <f t="shared" si="45"/>
        <v>-297.86315220782546</v>
      </c>
      <c r="G389" s="31">
        <f t="shared" si="46"/>
        <v>-0.53113461134376472</v>
      </c>
      <c r="H389" s="1"/>
      <c r="I389" s="7"/>
      <c r="J389" s="14"/>
    </row>
    <row r="390" spans="1:10" ht="16.5" customHeight="1" x14ac:dyDescent="0.5">
      <c r="A390" s="26"/>
      <c r="B390" s="28" t="s">
        <v>8</v>
      </c>
      <c r="C390" s="29">
        <v>2024</v>
      </c>
      <c r="D390" s="30">
        <v>555.57647738287869</v>
      </c>
      <c r="E390" s="30">
        <v>858.66854098532383</v>
      </c>
      <c r="F390" s="30">
        <f t="shared" si="45"/>
        <v>-303.09206360244514</v>
      </c>
      <c r="G390" s="31">
        <f t="shared" si="46"/>
        <v>-0.54554516964109612</v>
      </c>
      <c r="H390" s="1"/>
      <c r="I390" s="7"/>
      <c r="J390" s="14"/>
    </row>
    <row r="391" spans="1:10" ht="16.5" customHeight="1" x14ac:dyDescent="0.5">
      <c r="A391" s="26"/>
      <c r="B391" s="28" t="s">
        <v>4</v>
      </c>
      <c r="C391" s="29">
        <v>2024</v>
      </c>
      <c r="D391" s="30">
        <v>558.58875915093108</v>
      </c>
      <c r="E391" s="30">
        <v>858.66854098532383</v>
      </c>
      <c r="F391" s="30">
        <f t="shared" si="45"/>
        <v>-300.07978183439275</v>
      </c>
      <c r="G391" s="31">
        <f t="shared" si="46"/>
        <v>-0.53721056308136517</v>
      </c>
      <c r="H391" s="1"/>
      <c r="I391" s="7"/>
      <c r="J391" s="14"/>
    </row>
    <row r="392" spans="1:10" ht="16.5" customHeight="1" x14ac:dyDescent="0.5">
      <c r="A392" s="26"/>
      <c r="B392" s="28" t="s">
        <v>7</v>
      </c>
      <c r="C392" s="29">
        <v>2024</v>
      </c>
      <c r="D392" s="30">
        <v>560.73557353196475</v>
      </c>
      <c r="E392" s="30">
        <v>858.66854098532383</v>
      </c>
      <c r="F392" s="30">
        <f t="shared" si="45"/>
        <v>-297.93296745335908</v>
      </c>
      <c r="G392" s="31">
        <f t="shared" si="46"/>
        <v>-0.53132524761490885</v>
      </c>
      <c r="H392" s="1"/>
      <c r="I392" s="7"/>
      <c r="J392" s="14"/>
    </row>
    <row r="393" spans="1:10" ht="16.5" customHeight="1" x14ac:dyDescent="0.5">
      <c r="A393" s="26"/>
      <c r="B393" s="28" t="s">
        <v>9</v>
      </c>
      <c r="C393" s="29">
        <v>2024</v>
      </c>
      <c r="D393" s="30">
        <v>561.58189868298723</v>
      </c>
      <c r="E393" s="30">
        <v>858.66854098532383</v>
      </c>
      <c r="F393" s="30">
        <f t="shared" si="45"/>
        <v>-297.0866423023366</v>
      </c>
      <c r="G393" s="31">
        <f t="shared" si="46"/>
        <v>-0.52901748257744663</v>
      </c>
      <c r="H393" s="1"/>
      <c r="I393" s="7"/>
      <c r="J393" s="14"/>
    </row>
    <row r="394" spans="1:10" ht="16.5" customHeight="1" x14ac:dyDescent="0.5">
      <c r="A394" s="26"/>
      <c r="B394" s="28" t="s">
        <v>11</v>
      </c>
      <c r="C394" s="29">
        <v>2024</v>
      </c>
      <c r="D394" s="30">
        <v>564.03519896057026</v>
      </c>
      <c r="E394" s="30">
        <v>858.66854098532383</v>
      </c>
      <c r="F394" s="30">
        <f t="shared" si="45"/>
        <v>-294.63334202475357</v>
      </c>
      <c r="G394" s="31">
        <f t="shared" si="46"/>
        <v>-0.52236694193503763</v>
      </c>
      <c r="H394" s="1"/>
      <c r="I394" s="7"/>
      <c r="J394" s="14"/>
    </row>
    <row r="395" spans="1:10" ht="16.5" customHeight="1" x14ac:dyDescent="0.5">
      <c r="A395" s="26"/>
      <c r="B395" s="28" t="s">
        <v>3</v>
      </c>
      <c r="C395" s="29">
        <v>2024</v>
      </c>
      <c r="D395" s="30">
        <v>562.08168638318739</v>
      </c>
      <c r="E395" s="30">
        <v>858.66854098532383</v>
      </c>
      <c r="F395" s="30">
        <f t="shared" si="45"/>
        <v>-296.58685460213644</v>
      </c>
      <c r="G395" s="31">
        <f t="shared" si="46"/>
        <v>-0.5276579219482781</v>
      </c>
      <c r="H395" s="1"/>
      <c r="I395" s="7"/>
      <c r="J395" s="14"/>
    </row>
    <row r="396" spans="1:10" ht="16.5" customHeight="1" x14ac:dyDescent="0.5">
      <c r="A396" s="26"/>
      <c r="B396" s="28" t="s">
        <v>12</v>
      </c>
      <c r="C396" s="29">
        <v>2024</v>
      </c>
      <c r="D396" s="30">
        <v>554.76146794185468</v>
      </c>
      <c r="E396" s="30">
        <v>858.66854098532383</v>
      </c>
      <c r="F396" s="30">
        <f t="shared" si="45"/>
        <v>-303.90707304346915</v>
      </c>
      <c r="G396" s="31">
        <f t="shared" si="46"/>
        <v>-0.54781575615003253</v>
      </c>
      <c r="H396" s="1"/>
      <c r="I396" s="7"/>
      <c r="J396" s="14"/>
    </row>
    <row r="397" spans="1:10" ht="16.5" customHeight="1" x14ac:dyDescent="0.5">
      <c r="A397" s="26"/>
      <c r="B397" s="28" t="s">
        <v>5</v>
      </c>
      <c r="C397" s="29">
        <v>2025</v>
      </c>
      <c r="D397" s="30">
        <v>553.95068302661343</v>
      </c>
      <c r="E397" s="30">
        <v>877.32554908750319</v>
      </c>
      <c r="F397" s="30">
        <f t="shared" si="45"/>
        <v>-323.37486606088976</v>
      </c>
      <c r="G397" s="31">
        <f t="shared" si="46"/>
        <v>-0.58376111081598547</v>
      </c>
      <c r="H397" s="1"/>
      <c r="I397" s="7"/>
      <c r="J397" s="14"/>
    </row>
    <row r="398" spans="1:10" ht="16.5" customHeight="1" x14ac:dyDescent="0.5">
      <c r="A398" s="26"/>
      <c r="B398" s="28" t="s">
        <v>17</v>
      </c>
      <c r="C398" s="29">
        <v>2025</v>
      </c>
      <c r="D398" s="30">
        <v>550.18816864344774</v>
      </c>
      <c r="E398" s="30">
        <v>877.32554901225183</v>
      </c>
      <c r="F398" s="30">
        <f t="shared" si="45"/>
        <v>-327.13738036880409</v>
      </c>
      <c r="G398" s="31">
        <f t="shared" si="46"/>
        <v>-0.59459181242555426</v>
      </c>
      <c r="H398" s="1"/>
      <c r="I398" s="7"/>
      <c r="J398" s="14"/>
    </row>
    <row r="399" spans="1:10" ht="16.5" customHeight="1" x14ac:dyDescent="0.5">
      <c r="A399" s="26"/>
      <c r="B399" s="28" t="s">
        <v>6</v>
      </c>
      <c r="C399" s="29">
        <v>2025</v>
      </c>
      <c r="D399" s="30">
        <v>553.01173940428464</v>
      </c>
      <c r="E399" s="30">
        <v>877.32554906872485</v>
      </c>
      <c r="F399" s="30">
        <f t="shared" si="45"/>
        <v>-324.31380966444021</v>
      </c>
      <c r="G399" s="31">
        <f t="shared" si="46"/>
        <v>-0.58645013578517802</v>
      </c>
      <c r="H399" s="1"/>
      <c r="I399" s="7"/>
      <c r="J399" s="14"/>
    </row>
    <row r="400" spans="1:10" ht="16.5" customHeight="1" x14ac:dyDescent="0.5">
      <c r="A400" s="26"/>
      <c r="B400" s="28" t="s">
        <v>16</v>
      </c>
      <c r="C400" s="29">
        <v>2025</v>
      </c>
      <c r="D400" s="30">
        <v>553.29000056344773</v>
      </c>
      <c r="E400" s="30">
        <v>877.32554907428835</v>
      </c>
      <c r="F400" s="30">
        <f t="shared" si="45"/>
        <v>-324.03554851084061</v>
      </c>
      <c r="G400" s="31">
        <f t="shared" si="46"/>
        <v>-0.58565227670996434</v>
      </c>
      <c r="H400" s="1"/>
      <c r="I400" s="7"/>
      <c r="J400" s="14"/>
    </row>
    <row r="401" spans="1:10" ht="16.5" customHeight="1" x14ac:dyDescent="0.5">
      <c r="A401" s="26"/>
      <c r="B401" s="28" t="s">
        <v>10</v>
      </c>
      <c r="C401" s="29">
        <v>2025</v>
      </c>
      <c r="D401" s="30">
        <v>564.41214860672051</v>
      </c>
      <c r="E401" s="30">
        <v>877.32554929673188</v>
      </c>
      <c r="F401" s="30">
        <f t="shared" si="45"/>
        <v>-312.91340069001137</v>
      </c>
      <c r="G401" s="31">
        <f t="shared" si="46"/>
        <v>-0.5544058565402139</v>
      </c>
      <c r="H401" s="1"/>
      <c r="I401" s="7"/>
      <c r="J401" s="14"/>
    </row>
    <row r="402" spans="1:10" ht="16.5" customHeight="1" x14ac:dyDescent="0.5">
      <c r="A402" s="26"/>
      <c r="B402" s="28" t="s">
        <v>8</v>
      </c>
      <c r="C402" s="29">
        <v>2025</v>
      </c>
      <c r="D402" s="30">
        <v>564.88356865371259</v>
      </c>
      <c r="E402" s="30">
        <v>877.32554930616027</v>
      </c>
      <c r="F402" s="30">
        <f t="shared" si="45"/>
        <v>-312.44198065244768</v>
      </c>
      <c r="G402" s="31">
        <f t="shared" si="46"/>
        <v>-0.55310863687731415</v>
      </c>
      <c r="H402" s="1"/>
      <c r="I402" s="7"/>
      <c r="J402" s="14"/>
    </row>
    <row r="403" spans="1:10" ht="16.5" customHeight="1" x14ac:dyDescent="0.5">
      <c r="A403" s="26"/>
      <c r="B403" s="28" t="s">
        <v>4</v>
      </c>
      <c r="C403" s="29">
        <v>2025</v>
      </c>
      <c r="D403" s="30">
        <v>565.12238630549962</v>
      </c>
      <c r="E403" s="30">
        <v>877.32554931093648</v>
      </c>
      <c r="F403" s="30">
        <f t="shared" si="45"/>
        <v>-312.20316300543686</v>
      </c>
      <c r="G403" s="31">
        <f t="shared" si="46"/>
        <v>-0.55245230160934178</v>
      </c>
      <c r="H403" s="1"/>
      <c r="I403" s="7"/>
      <c r="J403" s="14"/>
    </row>
    <row r="404" spans="1:10" ht="16.5" customHeight="1" x14ac:dyDescent="0.5">
      <c r="A404" s="26"/>
      <c r="B404" s="28" t="s">
        <v>7</v>
      </c>
      <c r="C404" s="29">
        <v>2025</v>
      </c>
      <c r="D404" s="30">
        <v>567.37235282711629</v>
      </c>
      <c r="E404" s="30">
        <v>877.325549355936</v>
      </c>
      <c r="F404" s="30">
        <f t="shared" si="45"/>
        <v>-309.95319652881972</v>
      </c>
      <c r="G404" s="31">
        <f t="shared" si="46"/>
        <v>-0.54629591129066768</v>
      </c>
      <c r="H404" s="1"/>
      <c r="I404" s="7"/>
      <c r="J404" s="14"/>
    </row>
    <row r="405" spans="1:10" ht="16.5" customHeight="1" x14ac:dyDescent="0.5">
      <c r="A405" s="26"/>
      <c r="B405" s="28" t="s">
        <v>9</v>
      </c>
      <c r="C405" s="29">
        <v>2025</v>
      </c>
      <c r="D405" s="30">
        <v>574.55452231459117</v>
      </c>
      <c r="E405" s="30">
        <v>877.32554949957932</v>
      </c>
      <c r="F405" s="30">
        <f t="shared" si="45"/>
        <v>-302.77102718498816</v>
      </c>
      <c r="G405" s="31">
        <f t="shared" si="46"/>
        <v>-0.52696657223282484</v>
      </c>
      <c r="H405" s="1"/>
      <c r="I405" s="7"/>
      <c r="J405" s="14"/>
    </row>
    <row r="406" spans="1:10" ht="16.5" customHeight="1" x14ac:dyDescent="0.5">
      <c r="A406" s="26"/>
      <c r="B406" s="28" t="s">
        <v>11</v>
      </c>
      <c r="C406" s="29">
        <v>2025</v>
      </c>
      <c r="D406" s="30">
        <v>575.81600971585578</v>
      </c>
      <c r="E406" s="30">
        <v>877.32554952480893</v>
      </c>
      <c r="F406" s="30">
        <f t="shared" si="45"/>
        <v>-301.50953980895315</v>
      </c>
      <c r="G406" s="31">
        <f t="shared" si="46"/>
        <v>-0.5236213212580475</v>
      </c>
      <c r="H406" s="1"/>
      <c r="I406" s="7"/>
      <c r="J406" s="14"/>
    </row>
    <row r="407" spans="1:10" ht="16.5" customHeight="1" x14ac:dyDescent="0.5">
      <c r="A407" s="26"/>
      <c r="B407" s="28" t="s">
        <v>3</v>
      </c>
      <c r="C407" s="29">
        <v>2025</v>
      </c>
      <c r="D407" s="30">
        <v>575.85519430859893</v>
      </c>
      <c r="E407" s="30">
        <v>877.32554952559315</v>
      </c>
      <c r="F407" s="30">
        <f t="shared" si="45"/>
        <v>-301.47035521699422</v>
      </c>
      <c r="G407" s="31">
        <f t="shared" si="46"/>
        <v>-0.52351764505476917</v>
      </c>
      <c r="H407" s="1"/>
      <c r="I407" s="7"/>
      <c r="J407" s="14"/>
    </row>
    <row r="408" spans="1:10" ht="16.5" customHeight="1" thickBot="1" x14ac:dyDescent="0.55000000000000004">
      <c r="A408" s="21"/>
      <c r="B408" s="22" t="s">
        <v>12</v>
      </c>
      <c r="C408" s="23">
        <v>2025</v>
      </c>
      <c r="D408" s="24">
        <v>571.60960884804365</v>
      </c>
      <c r="E408" s="24">
        <v>877.32554944068124</v>
      </c>
      <c r="F408" s="24">
        <f t="shared" si="43"/>
        <v>-305.71594059263759</v>
      </c>
      <c r="G408" s="25">
        <f t="shared" si="44"/>
        <v>-0.53483345251795611</v>
      </c>
      <c r="H408" s="1"/>
      <c r="I408" s="7"/>
      <c r="J408" s="14"/>
    </row>
    <row r="409" spans="1:10" ht="27" customHeight="1" x14ac:dyDescent="0.35">
      <c r="A409" s="11"/>
      <c r="B409" s="11"/>
      <c r="C409" s="11"/>
      <c r="D409" s="11"/>
      <c r="E409" s="11"/>
      <c r="F409" s="11"/>
      <c r="G409" s="11"/>
      <c r="J409" s="15"/>
    </row>
    <row r="410" spans="1:10" x14ac:dyDescent="0.25">
      <c r="A410" s="13" t="s">
        <v>42</v>
      </c>
      <c r="B410" s="11"/>
      <c r="C410" s="11"/>
      <c r="D410" s="11"/>
      <c r="E410" s="11"/>
      <c r="F410" s="11"/>
      <c r="G410" s="11"/>
    </row>
    <row r="413" spans="1:10" x14ac:dyDescent="0.25">
      <c r="J413" s="12"/>
    </row>
    <row r="418" spans="1:1" ht="14.25" x14ac:dyDescent="0.3">
      <c r="A418" s="36" t="s">
        <v>48</v>
      </c>
    </row>
    <row r="420" spans="1:1" x14ac:dyDescent="0.25">
      <c r="A420" s="37" t="s">
        <v>43</v>
      </c>
    </row>
    <row r="421" spans="1:1" x14ac:dyDescent="0.25">
      <c r="A421" s="38" t="s">
        <v>49</v>
      </c>
    </row>
    <row r="422" spans="1:1" x14ac:dyDescent="0.25">
      <c r="A422" s="38" t="s">
        <v>50</v>
      </c>
    </row>
    <row r="423" spans="1:1" x14ac:dyDescent="0.25">
      <c r="A423" s="38" t="s">
        <v>51</v>
      </c>
    </row>
  </sheetData>
  <mergeCells count="10">
    <mergeCell ref="A1:Z1"/>
    <mergeCell ref="A3:G3"/>
    <mergeCell ref="A4:G4"/>
    <mergeCell ref="A5:A9"/>
    <mergeCell ref="B5:B9"/>
    <mergeCell ref="C5:C9"/>
    <mergeCell ref="D5:D9"/>
    <mergeCell ref="E5:E9"/>
    <mergeCell ref="F5:F9"/>
    <mergeCell ref="G5:G9"/>
  </mergeCells>
  <pageMargins left="0.52" right="0.17" top="0.76" bottom="0.56000000000000005" header="0" footer="0"/>
  <pageSetup paperSize="9" scale="95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SERIE VITAL</vt:lpstr>
      <vt:lpstr>'SERIE VITAL'!Títulos_a_imprimir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Katherine Uyaguari</dc:creator>
  <cp:lastModifiedBy>INEC Michael Soria</cp:lastModifiedBy>
  <cp:lastPrinted>2019-08-30T15:06:51Z</cp:lastPrinted>
  <dcterms:created xsi:type="dcterms:W3CDTF">2015-02-04T14:45:26Z</dcterms:created>
  <dcterms:modified xsi:type="dcterms:W3CDTF">2025-12-29T19:05:33Z</dcterms:modified>
</cp:coreProperties>
</file>