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Respaldos MichaelSoria\GIE\Resultados\Canastas\Abril 2026\"/>
    </mc:Choice>
  </mc:AlternateContent>
  <bookViews>
    <workbookView xWindow="0" yWindow="0" windowWidth="28800" windowHeight="11910"/>
  </bookViews>
  <sheets>
    <sheet name="SERIE BÁSICA" sheetId="2" r:id="rId1"/>
  </sheets>
  <calcPr calcId="162913"/>
</workbook>
</file>

<file path=xl/calcChain.xml><?xml version="1.0" encoding="utf-8"?>
<calcChain xmlns="http://schemas.openxmlformats.org/spreadsheetml/2006/main">
  <c r="F439" i="2" l="1"/>
  <c r="G439" i="2" s="1"/>
  <c r="F438" i="2" l="1"/>
  <c r="G438" i="2" s="1"/>
  <c r="F437" i="2" l="1"/>
  <c r="G437" i="2" s="1"/>
  <c r="F436" i="2" l="1"/>
  <c r="G436" i="2" s="1"/>
  <c r="F435" i="2" l="1"/>
  <c r="G435" i="2" s="1"/>
  <c r="F434" i="2" l="1"/>
  <c r="G434" i="2" s="1"/>
  <c r="G433" i="2" l="1"/>
  <c r="F433" i="2"/>
  <c r="F432" i="2" l="1"/>
  <c r="G432" i="2" s="1"/>
  <c r="F431" i="2" l="1"/>
  <c r="G431" i="2" s="1"/>
  <c r="F430" i="2" l="1"/>
  <c r="G430" i="2" s="1"/>
  <c r="G429" i="2" l="1"/>
  <c r="F429" i="2"/>
  <c r="F428" i="2" l="1"/>
  <c r="G428" i="2" s="1"/>
  <c r="F427" i="2" l="1"/>
  <c r="G427" i="2" s="1"/>
  <c r="F426" i="2" l="1"/>
  <c r="G426" i="2" s="1"/>
  <c r="F425" i="2" l="1"/>
  <c r="G425" i="2" s="1"/>
  <c r="F424" i="2" l="1"/>
  <c r="G424" i="2" s="1"/>
  <c r="F423" i="2" l="1"/>
  <c r="G423" i="2" s="1"/>
  <c r="F422" i="2"/>
  <c r="G422" i="2" s="1"/>
  <c r="F421" i="2" l="1"/>
  <c r="G421" i="2" s="1"/>
  <c r="F420" i="2" l="1"/>
  <c r="G420" i="2" s="1"/>
  <c r="F419" i="2" l="1"/>
  <c r="G419" i="2" s="1"/>
  <c r="F418" i="2" l="1"/>
  <c r="G418" i="2" s="1"/>
  <c r="F417" i="2" l="1"/>
  <c r="G417" i="2" s="1"/>
  <c r="F416" i="2"/>
  <c r="G416" i="2" s="1"/>
  <c r="F415" i="2" l="1"/>
  <c r="G415" i="2" s="1"/>
  <c r="F414" i="2" l="1"/>
  <c r="G414" i="2" s="1"/>
  <c r="F413" i="2"/>
  <c r="G413" i="2" s="1"/>
  <c r="F412" i="2"/>
  <c r="G412" i="2" s="1"/>
  <c r="F411" i="2"/>
  <c r="G411" i="2" s="1"/>
  <c r="F410" i="2"/>
  <c r="G410" i="2" s="1"/>
  <c r="F409" i="2"/>
  <c r="G409" i="2" s="1"/>
  <c r="F408" i="2"/>
  <c r="G408" i="2" s="1"/>
  <c r="F407" i="2"/>
  <c r="G407" i="2" s="1"/>
  <c r="F406" i="2"/>
  <c r="G406" i="2" s="1"/>
  <c r="F405" i="2"/>
  <c r="G405" i="2" s="1"/>
  <c r="F404" i="2"/>
  <c r="G404" i="2" s="1"/>
  <c r="F403" i="2"/>
  <c r="G403" i="2"/>
  <c r="F402" i="2"/>
  <c r="G402" i="2" s="1"/>
  <c r="F440" i="2"/>
  <c r="G440" i="2" s="1"/>
  <c r="F401" i="2"/>
  <c r="G401" i="2" s="1"/>
  <c r="F400" i="2"/>
  <c r="G400" i="2" s="1"/>
  <c r="F399" i="2"/>
  <c r="G399" i="2" s="1"/>
  <c r="F398" i="2"/>
  <c r="G398" i="2" s="1"/>
  <c r="F397" i="2"/>
  <c r="G397" i="2" s="1"/>
  <c r="F396" i="2"/>
  <c r="G396" i="2" s="1"/>
  <c r="G394" i="2"/>
  <c r="G392" i="2"/>
  <c r="F391" i="2"/>
  <c r="G391" i="2" s="1"/>
  <c r="F390" i="2"/>
  <c r="G390" i="2" s="1"/>
  <c r="G389" i="2"/>
  <c r="G395" i="2"/>
  <c r="G393" i="2"/>
  <c r="F388" i="2"/>
  <c r="G388" i="2" s="1"/>
  <c r="F387" i="2"/>
  <c r="G387" i="2" s="1"/>
  <c r="F386" i="2"/>
  <c r="G386" i="2" s="1"/>
  <c r="F385" i="2"/>
  <c r="G385" i="2" s="1"/>
  <c r="F384" i="2"/>
  <c r="G384" i="2" s="1"/>
  <c r="F383" i="2"/>
  <c r="G383" i="2" s="1"/>
  <c r="F382" i="2"/>
  <c r="G382" i="2" s="1"/>
  <c r="F381" i="2"/>
  <c r="G381" i="2" s="1"/>
  <c r="F380" i="2"/>
  <c r="G380" i="2" s="1"/>
  <c r="F379" i="2"/>
  <c r="G379" i="2" s="1"/>
  <c r="F378" i="2"/>
  <c r="G378" i="2" s="1"/>
  <c r="F377" i="2"/>
  <c r="G377" i="2" s="1"/>
  <c r="F376" i="2"/>
  <c r="G376" i="2"/>
  <c r="F375" i="2"/>
  <c r="G375" i="2" s="1"/>
  <c r="F374" i="2"/>
  <c r="G374" i="2" s="1"/>
  <c r="F373" i="2"/>
  <c r="G373" i="2" s="1"/>
  <c r="F372" i="2"/>
  <c r="G372" i="2" s="1"/>
  <c r="F371" i="2"/>
  <c r="G371" i="2" s="1"/>
  <c r="F370" i="2"/>
  <c r="G370" i="2" s="1"/>
  <c r="F369" i="2"/>
  <c r="G369" i="2" s="1"/>
  <c r="F368" i="2"/>
  <c r="G368" i="2" s="1"/>
  <c r="F367" i="2"/>
  <c r="G367" i="2" s="1"/>
  <c r="F366" i="2"/>
  <c r="G366" i="2" s="1"/>
  <c r="F365" i="2"/>
  <c r="G365" i="2" s="1"/>
  <c r="F364" i="2"/>
  <c r="G364" i="2" s="1"/>
  <c r="F363" i="2"/>
  <c r="G363" i="2" s="1"/>
  <c r="F362" i="2"/>
  <c r="G362" i="2" s="1"/>
  <c r="F361" i="2"/>
  <c r="G361" i="2" s="1"/>
  <c r="F360" i="2"/>
  <c r="G360" i="2" s="1"/>
  <c r="F359" i="2"/>
  <c r="G359" i="2" s="1"/>
  <c r="F358" i="2"/>
  <c r="G358" i="2" s="1"/>
  <c r="F357" i="2"/>
  <c r="G357" i="2" s="1"/>
  <c r="F356" i="2"/>
  <c r="G356" i="2" s="1"/>
  <c r="F355" i="2"/>
  <c r="G355" i="2" s="1"/>
  <c r="F354" i="2"/>
  <c r="G354" i="2" s="1"/>
  <c r="F353" i="2"/>
  <c r="G353" i="2" s="1"/>
  <c r="F352" i="2"/>
  <c r="G352" i="2" s="1"/>
  <c r="F351" i="2"/>
  <c r="G351" i="2" s="1"/>
  <c r="F350" i="2"/>
  <c r="G350" i="2" s="1"/>
  <c r="F349" i="2"/>
  <c r="G349" i="2" s="1"/>
  <c r="F348" i="2"/>
  <c r="G348" i="2" s="1"/>
  <c r="F347" i="2"/>
  <c r="G347" i="2"/>
  <c r="F346" i="2"/>
  <c r="G346" i="2" s="1"/>
  <c r="F345" i="2"/>
  <c r="G345" i="2" s="1"/>
  <c r="F344" i="2"/>
  <c r="G344" i="2" s="1"/>
  <c r="F343" i="2"/>
  <c r="G343" i="2" s="1"/>
  <c r="F342" i="2"/>
  <c r="G342" i="2" s="1"/>
  <c r="F340" i="2"/>
  <c r="G340" i="2" s="1"/>
  <c r="F341" i="2"/>
  <c r="G341" i="2" s="1"/>
  <c r="F339" i="2"/>
  <c r="G339" i="2" s="1"/>
  <c r="F338" i="2"/>
  <c r="G338" i="2" s="1"/>
  <c r="F337" i="2"/>
  <c r="G337" i="2"/>
  <c r="F336" i="2"/>
  <c r="G336" i="2"/>
  <c r="F335" i="2"/>
  <c r="G335" i="2" s="1"/>
  <c r="F334" i="2"/>
  <c r="G334" i="2" s="1"/>
  <c r="F333" i="2"/>
  <c r="G333" i="2" s="1"/>
  <c r="F332" i="2"/>
  <c r="G332" i="2" s="1"/>
  <c r="F331" i="2"/>
  <c r="G331" i="2"/>
  <c r="F330" i="2"/>
  <c r="G330" i="2" s="1"/>
  <c r="F329" i="2"/>
  <c r="G329" i="2" s="1"/>
  <c r="F328" i="2"/>
  <c r="G328" i="2" s="1"/>
  <c r="F327" i="2"/>
  <c r="G327" i="2" s="1"/>
  <c r="F326" i="2"/>
  <c r="G326" i="2" s="1"/>
  <c r="F325" i="2"/>
  <c r="G325" i="2" s="1"/>
  <c r="F324" i="2"/>
  <c r="G324" i="2" s="1"/>
  <c r="F323" i="2"/>
  <c r="G323" i="2" s="1"/>
  <c r="F322" i="2"/>
  <c r="G322" i="2" s="1"/>
  <c r="F321" i="2"/>
  <c r="G321" i="2" s="1"/>
  <c r="F320" i="2"/>
  <c r="G320" i="2" s="1"/>
  <c r="F319" i="2"/>
  <c r="G319" i="2" s="1"/>
  <c r="F318" i="2"/>
  <c r="G318" i="2" s="1"/>
  <c r="F317" i="2"/>
  <c r="G317" i="2" s="1"/>
  <c r="F316" i="2"/>
  <c r="G316" i="2" s="1"/>
  <c r="F315" i="2"/>
  <c r="G315" i="2"/>
  <c r="F314" i="2"/>
  <c r="G314" i="2" s="1"/>
  <c r="F313" i="2"/>
  <c r="G313" i="2" s="1"/>
  <c r="F312" i="2"/>
  <c r="G312" i="2" s="1"/>
  <c r="F311" i="2"/>
  <c r="G311" i="2" s="1"/>
  <c r="F310" i="2"/>
  <c r="G310" i="2" s="1"/>
  <c r="F309" i="2"/>
  <c r="G309" i="2" s="1"/>
  <c r="F308" i="2"/>
  <c r="G308" i="2" s="1"/>
  <c r="F307" i="2"/>
  <c r="G307" i="2" s="1"/>
  <c r="F306" i="2"/>
  <c r="G306" i="2" s="1"/>
  <c r="F305" i="2"/>
  <c r="G305" i="2" s="1"/>
  <c r="F304" i="2"/>
  <c r="G304" i="2"/>
  <c r="F303" i="2"/>
  <c r="G303" i="2" s="1"/>
  <c r="F302" i="2"/>
  <c r="G302" i="2" s="1"/>
  <c r="F301" i="2"/>
  <c r="G301" i="2" s="1"/>
  <c r="F300" i="2"/>
  <c r="G300" i="2" s="1"/>
  <c r="F299" i="2"/>
  <c r="G299" i="2" s="1"/>
  <c r="F298" i="2"/>
  <c r="G298" i="2" s="1"/>
  <c r="F297" i="2"/>
  <c r="G297" i="2" s="1"/>
  <c r="F296" i="2"/>
  <c r="G296" i="2" s="1"/>
  <c r="F295" i="2"/>
  <c r="G295" i="2" s="1"/>
  <c r="F294" i="2"/>
  <c r="G294" i="2" s="1"/>
  <c r="F293" i="2"/>
  <c r="G293" i="2" s="1"/>
  <c r="F292" i="2"/>
  <c r="G292" i="2" s="1"/>
  <c r="F291" i="2"/>
  <c r="G291" i="2" s="1"/>
  <c r="F290" i="2"/>
  <c r="G290" i="2" s="1"/>
  <c r="F289" i="2"/>
  <c r="G289" i="2" s="1"/>
  <c r="F288" i="2"/>
  <c r="G288" i="2" s="1"/>
  <c r="F287" i="2"/>
  <c r="G287" i="2" s="1"/>
  <c r="F286" i="2"/>
  <c r="G286" i="2" s="1"/>
  <c r="F285" i="2"/>
  <c r="G285" i="2" s="1"/>
  <c r="F284" i="2"/>
  <c r="G284" i="2" s="1"/>
  <c r="G283" i="2"/>
  <c r="F282" i="2"/>
  <c r="G282" i="2" s="1"/>
  <c r="F281" i="2"/>
  <c r="G281" i="2"/>
  <c r="F280" i="2"/>
  <c r="G280" i="2" s="1"/>
  <c r="F279" i="2"/>
  <c r="G279" i="2" s="1"/>
  <c r="F278" i="2"/>
  <c r="G278" i="2" s="1"/>
  <c r="F277" i="2"/>
  <c r="G277" i="2" s="1"/>
  <c r="F276" i="2"/>
  <c r="G276" i="2" s="1"/>
  <c r="F275" i="2"/>
  <c r="G275" i="2" s="1"/>
  <c r="F274" i="2"/>
  <c r="G274" i="2" s="1"/>
  <c r="F273" i="2"/>
  <c r="G273" i="2" s="1"/>
  <c r="F272" i="2"/>
  <c r="G272" i="2" s="1"/>
  <c r="F271" i="2"/>
  <c r="G271" i="2" s="1"/>
  <c r="F270" i="2"/>
  <c r="G270" i="2" s="1"/>
  <c r="F269" i="2"/>
  <c r="G269" i="2" s="1"/>
  <c r="F268" i="2"/>
  <c r="G268" i="2" s="1"/>
  <c r="F267" i="2"/>
  <c r="G267" i="2" s="1"/>
  <c r="F266" i="2"/>
  <c r="G266" i="2" s="1"/>
  <c r="F265" i="2"/>
  <c r="G265" i="2" s="1"/>
  <c r="F264" i="2"/>
  <c r="G264" i="2" s="1"/>
  <c r="F263" i="2"/>
  <c r="G263" i="2" s="1"/>
  <c r="F262" i="2"/>
  <c r="G262" i="2" s="1"/>
  <c r="F261" i="2"/>
  <c r="G261" i="2" s="1"/>
  <c r="F260" i="2"/>
  <c r="G260" i="2" s="1"/>
  <c r="F259" i="2"/>
  <c r="G259" i="2" s="1"/>
  <c r="F258" i="2"/>
  <c r="G258" i="2" s="1"/>
  <c r="F257" i="2"/>
  <c r="G257" i="2" s="1"/>
  <c r="F256" i="2"/>
  <c r="G256" i="2" s="1"/>
  <c r="F255" i="2"/>
  <c r="G255" i="2" s="1"/>
  <c r="F254" i="2"/>
  <c r="G254" i="2" s="1"/>
  <c r="F253" i="2"/>
  <c r="G253" i="2" s="1"/>
  <c r="F252" i="2"/>
  <c r="G252" i="2" s="1"/>
  <c r="F251" i="2"/>
  <c r="G251" i="2" s="1"/>
  <c r="F250" i="2"/>
  <c r="G250" i="2" s="1"/>
  <c r="F249" i="2"/>
  <c r="G249" i="2" s="1"/>
  <c r="F248" i="2"/>
  <c r="G248" i="2" s="1"/>
  <c r="F247" i="2"/>
  <c r="G247" i="2" s="1"/>
  <c r="F246" i="2"/>
  <c r="G246" i="2" s="1"/>
  <c r="F245" i="2"/>
  <c r="G245" i="2" s="1"/>
  <c r="F244" i="2"/>
  <c r="G244" i="2" s="1"/>
  <c r="F243" i="2"/>
  <c r="G243" i="2" s="1"/>
  <c r="F242" i="2"/>
  <c r="G242" i="2" s="1"/>
  <c r="F241" i="2"/>
  <c r="G241" i="2" s="1"/>
  <c r="F240" i="2"/>
  <c r="G240" i="2" s="1"/>
  <c r="F239" i="2"/>
  <c r="G239" i="2" s="1"/>
  <c r="F238" i="2"/>
  <c r="G238" i="2" s="1"/>
  <c r="F237" i="2"/>
  <c r="G237" i="2"/>
  <c r="F236" i="2"/>
  <c r="G236" i="2" s="1"/>
  <c r="F235" i="2"/>
  <c r="G235" i="2" s="1"/>
  <c r="F234" i="2"/>
  <c r="G234" i="2" s="1"/>
  <c r="F233" i="2"/>
  <c r="G233" i="2" s="1"/>
  <c r="F232" i="2"/>
  <c r="G232" i="2" s="1"/>
  <c r="F231" i="2"/>
  <c r="G231" i="2"/>
  <c r="F230" i="2"/>
  <c r="G230" i="2" s="1"/>
  <c r="F229" i="2"/>
  <c r="G229" i="2" s="1"/>
  <c r="F228" i="2"/>
  <c r="G228" i="2" s="1"/>
  <c r="F227" i="2"/>
  <c r="G227" i="2" s="1"/>
  <c r="F226" i="2"/>
  <c r="G226" i="2" s="1"/>
  <c r="F225" i="2"/>
  <c r="G225" i="2" s="1"/>
  <c r="F224" i="2"/>
  <c r="G224" i="2"/>
  <c r="F223" i="2"/>
  <c r="G223" i="2" s="1"/>
  <c r="F222" i="2"/>
  <c r="G222" i="2" s="1"/>
  <c r="F221" i="2"/>
  <c r="G221" i="2" s="1"/>
  <c r="F220" i="2"/>
  <c r="G220" i="2" s="1"/>
  <c r="F219" i="2"/>
  <c r="G219" i="2" s="1"/>
  <c r="F218" i="2"/>
  <c r="G218" i="2" s="1"/>
  <c r="F217" i="2"/>
  <c r="G217" i="2" s="1"/>
  <c r="F216" i="2"/>
  <c r="G216" i="2" s="1"/>
  <c r="F215" i="2"/>
  <c r="G215" i="2" s="1"/>
  <c r="F214" i="2"/>
  <c r="G214" i="2" s="1"/>
  <c r="F213" i="2"/>
  <c r="G213" i="2" s="1"/>
  <c r="F212" i="2"/>
  <c r="G212" i="2" s="1"/>
  <c r="F211" i="2"/>
  <c r="G211" i="2" s="1"/>
  <c r="F210" i="2"/>
  <c r="G210" i="2" s="1"/>
  <c r="F209" i="2"/>
  <c r="G209" i="2" s="1"/>
  <c r="F208" i="2"/>
  <c r="G208" i="2" s="1"/>
  <c r="F207" i="2"/>
  <c r="G207" i="2" s="1"/>
  <c r="F206" i="2"/>
  <c r="G206" i="2" s="1"/>
  <c r="F205" i="2"/>
  <c r="G205" i="2" s="1"/>
  <c r="F204" i="2"/>
  <c r="G204" i="2" s="1"/>
  <c r="F203" i="2"/>
  <c r="G203" i="2" s="1"/>
  <c r="F202" i="2"/>
  <c r="G202" i="2" s="1"/>
  <c r="F201" i="2"/>
  <c r="G201" i="2" s="1"/>
  <c r="F200" i="2"/>
  <c r="G200" i="2"/>
  <c r="F199" i="2"/>
  <c r="G199" i="2" s="1"/>
  <c r="F198" i="2"/>
  <c r="G198" i="2" s="1"/>
  <c r="F197" i="2"/>
  <c r="G197" i="2" s="1"/>
  <c r="F196" i="2"/>
  <c r="G196" i="2" s="1"/>
  <c r="F195" i="2"/>
  <c r="G195" i="2" s="1"/>
  <c r="F194" i="2"/>
  <c r="G194" i="2" s="1"/>
  <c r="F193" i="2"/>
  <c r="G193" i="2" s="1"/>
  <c r="F192" i="2"/>
  <c r="G192" i="2" s="1"/>
  <c r="F191" i="2"/>
  <c r="G191" i="2" s="1"/>
  <c r="F190" i="2"/>
  <c r="G190" i="2" s="1"/>
  <c r="F189" i="2"/>
  <c r="G189" i="2" s="1"/>
  <c r="F188" i="2"/>
  <c r="G188" i="2" s="1"/>
  <c r="F187" i="2"/>
  <c r="G187" i="2" s="1"/>
  <c r="F186" i="2"/>
  <c r="G186" i="2" s="1"/>
  <c r="F185" i="2"/>
  <c r="G185" i="2" s="1"/>
  <c r="F184" i="2"/>
  <c r="G184" i="2" s="1"/>
  <c r="F183" i="2"/>
  <c r="G183" i="2" s="1"/>
  <c r="F182" i="2"/>
  <c r="G182" i="2" s="1"/>
  <c r="F181" i="2"/>
  <c r="G181" i="2" s="1"/>
  <c r="F180" i="2"/>
  <c r="G180" i="2" s="1"/>
  <c r="F179" i="2"/>
  <c r="G179" i="2" s="1"/>
  <c r="F178" i="2"/>
  <c r="G178" i="2" s="1"/>
  <c r="F177" i="2"/>
  <c r="G177" i="2" s="1"/>
  <c r="F176" i="2"/>
  <c r="G176" i="2" s="1"/>
  <c r="F175" i="2"/>
  <c r="G175" i="2" s="1"/>
  <c r="F174" i="2"/>
  <c r="G174" i="2" s="1"/>
  <c r="F173" i="2"/>
  <c r="G173" i="2"/>
  <c r="F172" i="2"/>
  <c r="G172" i="2" s="1"/>
  <c r="F171" i="2"/>
  <c r="G171" i="2"/>
  <c r="F170" i="2"/>
  <c r="G170" i="2"/>
  <c r="F169" i="2"/>
  <c r="G169" i="2" s="1"/>
  <c r="F168" i="2"/>
  <c r="G168" i="2" s="1"/>
  <c r="F167" i="2"/>
  <c r="G167" i="2" s="1"/>
  <c r="F166" i="2"/>
  <c r="G166" i="2" s="1"/>
  <c r="F165" i="2"/>
  <c r="G165" i="2" s="1"/>
  <c r="F164" i="2"/>
  <c r="G164" i="2" s="1"/>
  <c r="F163" i="2"/>
  <c r="G163" i="2" s="1"/>
  <c r="F162" i="2"/>
  <c r="G162" i="2" s="1"/>
  <c r="F161" i="2"/>
  <c r="G161" i="2" s="1"/>
  <c r="F160" i="2"/>
  <c r="G160" i="2" s="1"/>
  <c r="F159" i="2"/>
  <c r="G159" i="2" s="1"/>
  <c r="F158" i="2"/>
  <c r="G158" i="2" s="1"/>
  <c r="F157" i="2"/>
  <c r="G157" i="2" s="1"/>
  <c r="F156" i="2"/>
  <c r="G156" i="2" s="1"/>
  <c r="F155" i="2"/>
  <c r="G155" i="2" s="1"/>
  <c r="F154" i="2"/>
  <c r="G154" i="2" s="1"/>
  <c r="F153" i="2"/>
  <c r="G153" i="2" s="1"/>
  <c r="F152" i="2"/>
  <c r="G152" i="2"/>
  <c r="F151" i="2"/>
  <c r="G151" i="2" s="1"/>
  <c r="F150" i="2"/>
  <c r="G150" i="2" s="1"/>
  <c r="F149" i="2"/>
  <c r="G149" i="2" s="1"/>
  <c r="F148" i="2"/>
  <c r="G148" i="2" s="1"/>
  <c r="F147" i="2"/>
  <c r="G147" i="2" s="1"/>
  <c r="F146" i="2"/>
  <c r="G146" i="2" s="1"/>
  <c r="F145" i="2"/>
  <c r="G145" i="2" s="1"/>
  <c r="F144" i="2"/>
  <c r="G144" i="2" s="1"/>
  <c r="F143" i="2"/>
  <c r="G143" i="2" s="1"/>
  <c r="F142" i="2"/>
  <c r="G142" i="2" s="1"/>
  <c r="F141" i="2"/>
  <c r="G141" i="2" s="1"/>
  <c r="F140" i="2"/>
  <c r="G140" i="2" s="1"/>
  <c r="F139" i="2"/>
  <c r="G139" i="2" s="1"/>
  <c r="E129" i="2"/>
  <c r="D129" i="2"/>
  <c r="E128" i="2"/>
  <c r="D128" i="2"/>
  <c r="E127" i="2"/>
  <c r="D127" i="2"/>
  <c r="E126" i="2"/>
  <c r="D126" i="2"/>
  <c r="E125" i="2"/>
  <c r="D125" i="2"/>
  <c r="E124" i="2"/>
  <c r="D124" i="2"/>
  <c r="F124" i="2" s="1"/>
  <c r="G124" i="2" s="1"/>
  <c r="E123" i="2"/>
  <c r="D123" i="2"/>
  <c r="E122" i="2"/>
  <c r="D122" i="2"/>
  <c r="E121" i="2"/>
  <c r="D121" i="2"/>
  <c r="E120" i="2"/>
  <c r="D120" i="2"/>
  <c r="E119" i="2"/>
  <c r="D119" i="2"/>
  <c r="E118" i="2"/>
  <c r="D118" i="2"/>
  <c r="E117" i="2"/>
  <c r="D117" i="2"/>
  <c r="E116" i="2"/>
  <c r="D116" i="2"/>
  <c r="E115" i="2"/>
  <c r="D115" i="2"/>
  <c r="E114" i="2"/>
  <c r="D114" i="2"/>
  <c r="E113" i="2"/>
  <c r="D113" i="2"/>
  <c r="E112" i="2"/>
  <c r="D112" i="2"/>
  <c r="E111" i="2"/>
  <c r="D111" i="2"/>
  <c r="E110" i="2"/>
  <c r="D110" i="2"/>
  <c r="E109" i="2"/>
  <c r="D109" i="2"/>
  <c r="E108" i="2"/>
  <c r="D108" i="2"/>
  <c r="E107" i="2"/>
  <c r="D107" i="2"/>
  <c r="E106" i="2"/>
  <c r="D106" i="2"/>
  <c r="E105" i="2"/>
  <c r="D105" i="2"/>
  <c r="E104" i="2"/>
  <c r="D104" i="2"/>
  <c r="E103" i="2"/>
  <c r="D103" i="2"/>
  <c r="E102" i="2"/>
  <c r="D102" i="2"/>
  <c r="E101" i="2"/>
  <c r="D101" i="2"/>
  <c r="E100" i="2"/>
  <c r="D100" i="2"/>
  <c r="E99" i="2"/>
  <c r="D99" i="2"/>
  <c r="E98" i="2"/>
  <c r="D98" i="2"/>
  <c r="E97" i="2"/>
  <c r="D97" i="2"/>
  <c r="E96" i="2"/>
  <c r="D96" i="2"/>
  <c r="E95" i="2"/>
  <c r="D95" i="2"/>
  <c r="E94" i="2"/>
  <c r="D94" i="2"/>
  <c r="E93" i="2"/>
  <c r="D93" i="2"/>
  <c r="E92" i="2"/>
  <c r="D92" i="2"/>
  <c r="E91" i="2"/>
  <c r="D91" i="2"/>
  <c r="E90" i="2"/>
  <c r="D90" i="2"/>
  <c r="E89" i="2"/>
  <c r="D89" i="2"/>
  <c r="F89" i="2" s="1"/>
  <c r="G89" i="2" s="1"/>
  <c r="E88" i="2"/>
  <c r="D88" i="2"/>
  <c r="E87" i="2"/>
  <c r="D87" i="2"/>
  <c r="E86" i="2"/>
  <c r="D86" i="2"/>
  <c r="E85" i="2"/>
  <c r="D85" i="2"/>
  <c r="E84" i="2"/>
  <c r="D84" i="2"/>
  <c r="E83" i="2"/>
  <c r="D83" i="2"/>
  <c r="E82" i="2"/>
  <c r="D82" i="2"/>
  <c r="E81" i="2"/>
  <c r="D81" i="2"/>
  <c r="E80" i="2"/>
  <c r="D80" i="2"/>
  <c r="E79" i="2"/>
  <c r="D79" i="2"/>
  <c r="E78" i="2"/>
  <c r="D78" i="2"/>
  <c r="E77" i="2"/>
  <c r="D77" i="2"/>
  <c r="F77" i="2" s="1"/>
  <c r="G77" i="2" s="1"/>
  <c r="E76" i="2"/>
  <c r="D76" i="2"/>
  <c r="E75" i="2"/>
  <c r="D75" i="2"/>
  <c r="E74" i="2"/>
  <c r="D74" i="2"/>
  <c r="E73" i="2"/>
  <c r="D73" i="2"/>
  <c r="E72" i="2"/>
  <c r="D72" i="2"/>
  <c r="E71" i="2"/>
  <c r="D71" i="2"/>
  <c r="E70" i="2"/>
  <c r="D70" i="2"/>
  <c r="E69" i="2"/>
  <c r="D69" i="2"/>
  <c r="E68" i="2"/>
  <c r="D68" i="2"/>
  <c r="E67" i="2"/>
  <c r="D67" i="2"/>
  <c r="E66" i="2"/>
  <c r="D66" i="2"/>
  <c r="E65" i="2"/>
  <c r="D65" i="2"/>
  <c r="E64" i="2"/>
  <c r="D64" i="2"/>
  <c r="E63" i="2"/>
  <c r="D63" i="2"/>
  <c r="E62" i="2"/>
  <c r="D62" i="2"/>
  <c r="E61" i="2"/>
  <c r="D61" i="2"/>
  <c r="E60" i="2"/>
  <c r="D60" i="2"/>
  <c r="E59" i="2"/>
  <c r="D59" i="2"/>
  <c r="E58" i="2"/>
  <c r="D58" i="2"/>
  <c r="E57" i="2"/>
  <c r="D57" i="2"/>
  <c r="E56" i="2"/>
  <c r="D56" i="2"/>
  <c r="E55" i="2"/>
  <c r="D55" i="2"/>
  <c r="E54" i="2"/>
  <c r="D54" i="2"/>
  <c r="E53" i="2"/>
  <c r="D53" i="2"/>
  <c r="F53" i="2" s="1"/>
  <c r="G53" i="2" s="1"/>
  <c r="E52" i="2"/>
  <c r="D52" i="2"/>
  <c r="E51" i="2"/>
  <c r="D51" i="2"/>
  <c r="E50" i="2"/>
  <c r="D50" i="2"/>
  <c r="E49" i="2"/>
  <c r="D49" i="2"/>
  <c r="E48" i="2"/>
  <c r="D48" i="2"/>
  <c r="E47" i="2"/>
  <c r="D47" i="2"/>
  <c r="E46" i="2"/>
  <c r="D46" i="2"/>
  <c r="E45" i="2"/>
  <c r="D45" i="2"/>
  <c r="E44" i="2"/>
  <c r="D44" i="2"/>
  <c r="E43" i="2"/>
  <c r="D43" i="2"/>
  <c r="E42" i="2"/>
  <c r="D42" i="2"/>
  <c r="E41" i="2"/>
  <c r="D41" i="2"/>
  <c r="E40" i="2"/>
  <c r="D40" i="2"/>
  <c r="E39" i="2"/>
  <c r="D39" i="2"/>
  <c r="E38" i="2"/>
  <c r="D38" i="2"/>
  <c r="E37" i="2"/>
  <c r="D37" i="2"/>
  <c r="E36" i="2"/>
  <c r="D36" i="2"/>
  <c r="E35" i="2"/>
  <c r="D35" i="2"/>
  <c r="E34" i="2"/>
  <c r="D34" i="2"/>
  <c r="E33" i="2"/>
  <c r="D33" i="2"/>
  <c r="E32" i="2"/>
  <c r="D32" i="2"/>
  <c r="E31" i="2"/>
  <c r="D31" i="2"/>
  <c r="E30" i="2"/>
  <c r="D30" i="2"/>
  <c r="E29" i="2"/>
  <c r="D29" i="2"/>
  <c r="E28" i="2"/>
  <c r="D28" i="2"/>
  <c r="E27" i="2"/>
  <c r="D27" i="2"/>
  <c r="E26" i="2"/>
  <c r="D26" i="2"/>
  <c r="E25" i="2"/>
  <c r="D25" i="2"/>
  <c r="E24" i="2"/>
  <c r="D24" i="2"/>
  <c r="E23" i="2"/>
  <c r="D23" i="2"/>
  <c r="E22" i="2"/>
  <c r="D22" i="2"/>
  <c r="E21" i="2"/>
  <c r="D21" i="2"/>
  <c r="E20" i="2"/>
  <c r="D20" i="2"/>
  <c r="E19" i="2"/>
  <c r="D19" i="2"/>
  <c r="E18" i="2"/>
  <c r="D18" i="2"/>
  <c r="E17" i="2"/>
  <c r="D17" i="2"/>
  <c r="F17" i="2" s="1"/>
  <c r="G17" i="2" s="1"/>
  <c r="E16" i="2"/>
  <c r="D16" i="2"/>
  <c r="E15" i="2"/>
  <c r="D15" i="2"/>
  <c r="E14" i="2"/>
  <c r="D14" i="2"/>
  <c r="E13" i="2"/>
  <c r="D13" i="2"/>
  <c r="E12" i="2"/>
  <c r="D12" i="2"/>
  <c r="F59" i="2" l="1"/>
  <c r="G59" i="2" s="1"/>
  <c r="F23" i="2"/>
  <c r="G23" i="2" s="1"/>
  <c r="F29" i="2"/>
  <c r="G29" i="2" s="1"/>
  <c r="F104" i="2"/>
  <c r="G104" i="2" s="1"/>
  <c r="F71" i="2"/>
  <c r="G71" i="2" s="1"/>
  <c r="F112" i="2"/>
  <c r="G112" i="2" s="1"/>
  <c r="F118" i="2"/>
  <c r="G118" i="2" s="1"/>
  <c r="F125" i="2"/>
  <c r="G125" i="2" s="1"/>
  <c r="F24" i="2"/>
  <c r="G24" i="2" s="1"/>
  <c r="F36" i="2"/>
  <c r="G36" i="2" s="1"/>
  <c r="F48" i="2"/>
  <c r="G48" i="2" s="1"/>
  <c r="F54" i="2"/>
  <c r="G54" i="2" s="1"/>
  <c r="F60" i="2"/>
  <c r="G60" i="2" s="1"/>
  <c r="F96" i="2"/>
  <c r="G96" i="2" s="1"/>
  <c r="F102" i="2"/>
  <c r="G102" i="2" s="1"/>
  <c r="F103" i="2"/>
  <c r="G103" i="2" s="1"/>
  <c r="F107" i="2"/>
  <c r="G107" i="2" s="1"/>
  <c r="F126" i="2"/>
  <c r="G126" i="2" s="1"/>
  <c r="F43" i="2"/>
  <c r="G43" i="2" s="1"/>
  <c r="F61" i="2"/>
  <c r="G61" i="2" s="1"/>
  <c r="F79" i="2"/>
  <c r="G79" i="2" s="1"/>
  <c r="F115" i="2"/>
  <c r="G115" i="2" s="1"/>
  <c r="F20" i="2"/>
  <c r="G20" i="2" s="1"/>
  <c r="F32" i="2"/>
  <c r="G32" i="2" s="1"/>
  <c r="F122" i="2"/>
  <c r="G122" i="2" s="1"/>
  <c r="F99" i="2"/>
  <c r="G99" i="2" s="1"/>
  <c r="F111" i="2"/>
  <c r="G111" i="2" s="1"/>
  <c r="F14" i="2"/>
  <c r="G14" i="2" s="1"/>
  <c r="F38" i="2"/>
  <c r="G38" i="2" s="1"/>
  <c r="F44" i="2"/>
  <c r="G44" i="2" s="1"/>
  <c r="F50" i="2"/>
  <c r="G50" i="2" s="1"/>
  <c r="F62" i="2"/>
  <c r="G62" i="2" s="1"/>
  <c r="F68" i="2"/>
  <c r="G68" i="2" s="1"/>
  <c r="F80" i="2"/>
  <c r="G80" i="2" s="1"/>
  <c r="F86" i="2"/>
  <c r="G86" i="2" s="1"/>
  <c r="F92" i="2"/>
  <c r="G92" i="2" s="1"/>
  <c r="F109" i="2"/>
  <c r="G109" i="2" s="1"/>
  <c r="F121" i="2"/>
  <c r="G121" i="2" s="1"/>
  <c r="F45" i="2"/>
  <c r="G45" i="2" s="1"/>
  <c r="F51" i="2"/>
  <c r="G51" i="2" s="1"/>
  <c r="F57" i="2"/>
  <c r="G57" i="2" s="1"/>
  <c r="F63" i="2"/>
  <c r="G63" i="2" s="1"/>
  <c r="F69" i="2"/>
  <c r="G69" i="2" s="1"/>
  <c r="F75" i="2"/>
  <c r="G75" i="2" s="1"/>
  <c r="F81" i="2"/>
  <c r="G81" i="2" s="1"/>
  <c r="F87" i="2"/>
  <c r="G87" i="2" s="1"/>
  <c r="F16" i="2"/>
  <c r="G16" i="2" s="1"/>
  <c r="F40" i="2"/>
  <c r="G40" i="2" s="1"/>
  <c r="F52" i="2"/>
  <c r="G52" i="2" s="1"/>
  <c r="F70" i="2"/>
  <c r="G70" i="2" s="1"/>
  <c r="F88" i="2"/>
  <c r="G88" i="2" s="1"/>
  <c r="F94" i="2"/>
  <c r="G94" i="2" s="1"/>
  <c r="F100" i="2"/>
  <c r="G100" i="2" s="1"/>
  <c r="F106" i="2"/>
  <c r="G106" i="2" s="1"/>
  <c r="F117" i="2"/>
  <c r="G117" i="2" s="1"/>
  <c r="F66" i="2"/>
  <c r="G66" i="2" s="1"/>
  <c r="F72" i="2"/>
  <c r="G72" i="2" s="1"/>
  <c r="F78" i="2"/>
  <c r="G78" i="2" s="1"/>
  <c r="F84" i="2"/>
  <c r="G84" i="2" s="1"/>
  <c r="F90" i="2"/>
  <c r="G90" i="2" s="1"/>
  <c r="F114" i="2"/>
  <c r="G114" i="2" s="1"/>
  <c r="F120" i="2"/>
  <c r="G120" i="2" s="1"/>
  <c r="F56" i="2"/>
  <c r="G56" i="2" s="1"/>
  <c r="F74" i="2"/>
  <c r="G74" i="2" s="1"/>
  <c r="F98" i="2"/>
  <c r="G98" i="2" s="1"/>
  <c r="F93" i="2"/>
  <c r="G93" i="2" s="1"/>
  <c r="F119" i="2"/>
  <c r="G119" i="2" s="1"/>
  <c r="F12" i="2"/>
  <c r="G12" i="2" s="1"/>
  <c r="F28" i="2"/>
  <c r="G28" i="2" s="1"/>
  <c r="F105" i="2"/>
  <c r="G105" i="2" s="1"/>
  <c r="F110" i="2"/>
  <c r="G110" i="2" s="1"/>
  <c r="F129" i="2"/>
  <c r="F35" i="2"/>
  <c r="G35" i="2" s="1"/>
  <c r="F41" i="2"/>
  <c r="G41" i="2" s="1"/>
  <c r="F47" i="2"/>
  <c r="G47" i="2" s="1"/>
  <c r="F65" i="2"/>
  <c r="G65" i="2" s="1"/>
  <c r="F83" i="2"/>
  <c r="G83" i="2" s="1"/>
  <c r="F19" i="2"/>
  <c r="G19" i="2" s="1"/>
  <c r="F31" i="2"/>
  <c r="G31" i="2" s="1"/>
  <c r="F37" i="2"/>
  <c r="G37" i="2" s="1"/>
  <c r="F113" i="2"/>
  <c r="G113" i="2" s="1"/>
  <c r="F15" i="2"/>
  <c r="G15" i="2" s="1"/>
  <c r="F26" i="2"/>
  <c r="G26" i="2" s="1"/>
  <c r="F97" i="2"/>
  <c r="G97" i="2" s="1"/>
  <c r="F127" i="2"/>
  <c r="G127" i="2" s="1"/>
  <c r="F21" i="2"/>
  <c r="G21" i="2" s="1"/>
  <c r="F25" i="2"/>
  <c r="G25" i="2" s="1"/>
  <c r="F58" i="2"/>
  <c r="G58" i="2" s="1"/>
  <c r="F67" i="2"/>
  <c r="G67" i="2" s="1"/>
  <c r="F76" i="2"/>
  <c r="G76" i="2" s="1"/>
  <c r="F85" i="2"/>
  <c r="G85" i="2" s="1"/>
  <c r="F13" i="2"/>
  <c r="G13" i="2" s="1"/>
  <c r="F22" i="2"/>
  <c r="G22" i="2" s="1"/>
  <c r="F95" i="2"/>
  <c r="G95" i="2" s="1"/>
  <c r="F27" i="2"/>
  <c r="G27" i="2" s="1"/>
  <c r="F91" i="2"/>
  <c r="G91" i="2" s="1"/>
  <c r="F108" i="2"/>
  <c r="G108" i="2" s="1"/>
  <c r="F123" i="2"/>
  <c r="G123" i="2" s="1"/>
  <c r="F33" i="2"/>
  <c r="G33" i="2" s="1"/>
  <c r="F42" i="2"/>
  <c r="G42" i="2" s="1"/>
  <c r="F46" i="2"/>
  <c r="G46" i="2" s="1"/>
  <c r="F55" i="2"/>
  <c r="G55" i="2" s="1"/>
  <c r="F64" i="2"/>
  <c r="G64" i="2" s="1"/>
  <c r="F73" i="2"/>
  <c r="G73" i="2" s="1"/>
  <c r="F82" i="2"/>
  <c r="G82" i="2" s="1"/>
  <c r="F116" i="2"/>
  <c r="G116" i="2" s="1"/>
  <c r="F34" i="2"/>
  <c r="G34" i="2" s="1"/>
  <c r="F101" i="2"/>
  <c r="G101" i="2" s="1"/>
  <c r="F49" i="2"/>
  <c r="G49" i="2" s="1"/>
  <c r="F30" i="2"/>
  <c r="G30" i="2" s="1"/>
  <c r="F39" i="2"/>
  <c r="G39" i="2" s="1"/>
  <c r="F18" i="2"/>
  <c r="G18" i="2" s="1"/>
  <c r="F128" i="2"/>
</calcChain>
</file>

<file path=xl/comments1.xml><?xml version="1.0" encoding="utf-8"?>
<comments xmlns="http://schemas.openxmlformats.org/spreadsheetml/2006/main">
  <authors>
    <author>INEC Corazón Vera</author>
    <author>INEC Diana Barco</author>
    <author>INEC Eduardo Prado</author>
  </authors>
  <commentList>
    <comment ref="F293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4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5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6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7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5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06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7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7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8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9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20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4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<sst xmlns="http://schemas.openxmlformats.org/spreadsheetml/2006/main" count="458" uniqueCount="55">
  <si>
    <t xml:space="preserve">CANASTA FAMILIAR BÁSICA </t>
  </si>
  <si>
    <t xml:space="preserve">BASE: Noviembre de 1982 = 100 </t>
  </si>
  <si>
    <t>GOBIERNOS</t>
  </si>
  <si>
    <t>MESES</t>
  </si>
  <si>
    <t>AÑOS</t>
  </si>
  <si>
    <t>Roldós-Hurtado</t>
  </si>
  <si>
    <t>Noviembre</t>
  </si>
  <si>
    <t>Julio</t>
  </si>
  <si>
    <t>León Febres Cordero</t>
  </si>
  <si>
    <t>Enero</t>
  </si>
  <si>
    <t>Marzo</t>
  </si>
  <si>
    <t>Agosto</t>
  </si>
  <si>
    <t>Junio</t>
  </si>
  <si>
    <t>Rodrigo Borja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</si>
  <si>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</si>
  <si>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</si>
  <si>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</si>
  <si>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</si>
  <si>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</si>
  <si>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</si>
  <si>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</si>
  <si>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</si>
  <si>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</si>
  <si>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</si>
  <si>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</si>
  <si>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</si>
  <si>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</si>
  <si>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</si>
  <si>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 xml:space="preserve">Mayo    </t>
  </si>
  <si>
    <t xml:space="preserve">Junio    </t>
  </si>
  <si>
    <t>Julio*</t>
  </si>
  <si>
    <t xml:space="preserve">Agosto  </t>
  </si>
  <si>
    <t xml:space="preserve">Septiembre </t>
  </si>
  <si>
    <t xml:space="preserve">Octubre  </t>
  </si>
  <si>
    <t xml:space="preserve">Noviembre  </t>
  </si>
  <si>
    <t xml:space="preserve">Diciembre  </t>
  </si>
  <si>
    <t>Lúcio Gutierrez B.</t>
  </si>
  <si>
    <t xml:space="preserve">Enero </t>
  </si>
  <si>
    <t>Alfredo Palacio</t>
  </si>
  <si>
    <t>Rafael Correa</t>
  </si>
  <si>
    <t>Enero**</t>
  </si>
  <si>
    <t>Lenín Moreno</t>
  </si>
  <si>
    <t>COSTO CANASTA BÁSICA (dólares)</t>
  </si>
  <si>
    <t>INGRESO FAMILIAR MENSUAL*** (dólares)</t>
  </si>
  <si>
    <t xml:space="preserve">Abril </t>
  </si>
  <si>
    <t>Notas:</t>
  </si>
  <si>
    <t>Realizadores:</t>
  </si>
  <si>
    <t>RESTRICCIÓN / EXCENDENTE (porcentual)</t>
  </si>
  <si>
    <t>RESTRICCIÓN / EXCEDENTE EN EL CONSUMO (costo-ingreso) (dólares)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</si>
  <si>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</si>
  <si>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</si>
  <si>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Básica</t>
    </r>
  </si>
  <si>
    <r>
      <rPr>
        <b/>
        <sz val="8"/>
        <rFont val="Century Gothic"/>
        <family val="2"/>
      </rPr>
      <t xml:space="preserve">Elaboración: </t>
    </r>
    <r>
      <rPr>
        <sz val="8"/>
        <rFont val="Century Gothic"/>
        <family val="2"/>
      </rPr>
      <t>Michael Soria</t>
    </r>
  </si>
  <si>
    <r>
      <rPr>
        <b/>
        <sz val="8"/>
        <rFont val="Century Gothic"/>
        <family val="2"/>
      </rPr>
      <t xml:space="preserve">Revisión: 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</si>
  <si>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 </t>
    </r>
    <r>
      <rPr>
        <sz val="8"/>
        <rFont val="Century Gothic"/>
        <family val="2"/>
      </rPr>
      <t>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</si>
</sst>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3D3D5"/>
        <bgColor indexed="64"/>
      </patternFill>
    </fill>
    <fill>
      <patternFill patternType="solid">
        <fgColor rgb="FF466E8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/>
    <xf numFmtId="0" fontId="5" fillId="0" borderId="0" xfId="0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0" borderId="3" xfId="0" applyFont="1" applyBorder="1"/>
    <xf numFmtId="0" fontId="5" fillId="2" borderId="3" xfId="0" applyFont="1" applyFill="1" applyBorder="1"/>
    <xf numFmtId="0" fontId="4" fillId="2" borderId="3" xfId="0" applyFont="1" applyFill="1" applyBorder="1"/>
    <xf numFmtId="164" fontId="4" fillId="0" borderId="0" xfId="0" applyNumberFormat="1" applyFont="1"/>
    <xf numFmtId="0" fontId="5" fillId="0" borderId="3" xfId="0" applyFont="1" applyFill="1" applyBorder="1"/>
    <xf numFmtId="2" fontId="4" fillId="0" borderId="0" xfId="0" applyNumberFormat="1" applyFont="1"/>
    <xf numFmtId="10" fontId="4" fillId="0" borderId="0" xfId="2" applyNumberFormat="1" applyFont="1"/>
    <xf numFmtId="10" fontId="4" fillId="0" borderId="0" xfId="0" applyNumberFormat="1" applyFont="1"/>
    <xf numFmtId="0" fontId="5" fillId="3" borderId="1" xfId="0" applyFont="1" applyFill="1" applyBorder="1"/>
    <xf numFmtId="0" fontId="5" fillId="3" borderId="3" xfId="0" applyFont="1" applyFill="1" applyBorder="1"/>
    <xf numFmtId="0" fontId="5" fillId="3" borderId="0" xfId="0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0" fontId="6" fillId="3" borderId="0" xfId="2" applyNumberFormat="1" applyFont="1" applyFill="1" applyBorder="1" applyAlignment="1">
      <alignment horizontal="center"/>
    </xf>
    <xf numFmtId="0" fontId="5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2" fontId="4" fillId="0" borderId="0" xfId="0" applyNumberFormat="1" applyFont="1" applyFill="1" applyBorder="1"/>
    <xf numFmtId="10" fontId="6" fillId="0" borderId="0" xfId="2" applyNumberFormat="1" applyFont="1" applyFill="1" applyBorder="1" applyAlignment="1">
      <alignment horizontal="center"/>
    </xf>
    <xf numFmtId="0" fontId="5" fillId="0" borderId="2" xfId="0" applyFont="1" applyFill="1" applyBorder="1"/>
    <xf numFmtId="0" fontId="4" fillId="0" borderId="0" xfId="0" applyFont="1" applyFill="1"/>
    <xf numFmtId="0" fontId="11" fillId="3" borderId="0" xfId="0" applyFont="1" applyFill="1" applyBorder="1" applyAlignment="1">
      <alignment horizontal="center" wrapText="1"/>
    </xf>
    <xf numFmtId="0" fontId="7" fillId="3" borderId="0" xfId="0" applyFont="1" applyFill="1" applyBorder="1"/>
    <xf numFmtId="0" fontId="12" fillId="0" borderId="0" xfId="0" applyFont="1"/>
    <xf numFmtId="164" fontId="9" fillId="0" borderId="0" xfId="0" applyNumberFormat="1" applyFont="1"/>
    <xf numFmtId="0" fontId="5" fillId="0" borderId="4" xfId="0" applyFont="1" applyFill="1" applyBorder="1"/>
    <xf numFmtId="0" fontId="5" fillId="4" borderId="3" xfId="0" applyFont="1" applyFill="1" applyBorder="1"/>
    <xf numFmtId="0" fontId="5" fillId="4" borderId="0" xfId="0" applyFont="1" applyFill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10" fillId="0" borderId="0" xfId="1" applyFont="1"/>
    <xf numFmtId="49" fontId="9" fillId="0" borderId="0" xfId="1" applyNumberFormat="1" applyFont="1" applyFill="1" applyBorder="1" applyAlignment="1">
      <alignment horizontal="left" vertical="top"/>
    </xf>
    <xf numFmtId="0" fontId="8" fillId="0" borderId="0" xfId="0" applyFont="1"/>
    <xf numFmtId="0" fontId="4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center" vertical="center"/>
    </xf>
    <xf numFmtId="4" fontId="4" fillId="4" borderId="8" xfId="0" applyNumberFormat="1" applyFont="1" applyFill="1" applyBorder="1" applyAlignment="1">
      <alignment vertical="center"/>
    </xf>
    <xf numFmtId="165" fontId="4" fillId="4" borderId="9" xfId="2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4" fontId="4" fillId="0" borderId="8" xfId="0" applyNumberFormat="1" applyFont="1" applyFill="1" applyBorder="1" applyAlignment="1">
      <alignment vertical="center"/>
    </xf>
    <xf numFmtId="165" fontId="4" fillId="0" borderId="9" xfId="2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vertical="center"/>
    </xf>
    <xf numFmtId="165" fontId="4" fillId="2" borderId="9" xfId="2" applyNumberFormat="1" applyFont="1" applyFill="1" applyBorder="1" applyAlignment="1">
      <alignment horizontal="center" vertical="center"/>
    </xf>
    <xf numFmtId="165" fontId="6" fillId="4" borderId="9" xfId="2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165" fontId="6" fillId="2" borderId="9" xfId="2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vertical="center"/>
    </xf>
    <xf numFmtId="2" fontId="4" fillId="4" borderId="8" xfId="0" applyNumberFormat="1" applyFont="1" applyFill="1" applyBorder="1" applyAlignment="1">
      <alignment vertical="center"/>
    </xf>
    <xf numFmtId="2" fontId="4" fillId="0" borderId="8" xfId="0" applyNumberFormat="1" applyFont="1" applyFill="1" applyBorder="1" applyAlignment="1">
      <alignment vertical="center"/>
    </xf>
    <xf numFmtId="165" fontId="6" fillId="0" borderId="9" xfId="2" applyNumberFormat="1" applyFont="1" applyFill="1" applyBorder="1" applyAlignment="1">
      <alignment horizontal="center" vertical="center"/>
    </xf>
    <xf numFmtId="10" fontId="6" fillId="0" borderId="9" xfId="2" applyNumberFormat="1" applyFont="1" applyFill="1" applyBorder="1" applyAlignment="1">
      <alignment horizontal="center" vertical="center"/>
    </xf>
    <xf numFmtId="10" fontId="6" fillId="4" borderId="9" xfId="2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>
      <alignment vertical="center"/>
    </xf>
    <xf numFmtId="10" fontId="6" fillId="3" borderId="9" xfId="2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vertical="center"/>
    </xf>
    <xf numFmtId="10" fontId="6" fillId="0" borderId="11" xfId="2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49" fontId="14" fillId="5" borderId="5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6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 wrapText="1"/>
    </xf>
    <xf numFmtId="49" fontId="14" fillId="5" borderId="10" xfId="0" applyNumberFormat="1" applyFont="1" applyFill="1" applyBorder="1" applyAlignment="1">
      <alignment horizontal="center" vertical="center" wrapText="1"/>
    </xf>
    <xf numFmtId="49" fontId="14" fillId="5" borderId="7" xfId="0" applyNumberFormat="1" applyFont="1" applyFill="1" applyBorder="1" applyAlignment="1">
      <alignment horizontal="center" vertical="center" wrapText="1"/>
    </xf>
    <xf numFmtId="49" fontId="14" fillId="5" borderId="9" xfId="0" applyNumberFormat="1" applyFont="1" applyFill="1" applyBorder="1" applyAlignment="1">
      <alignment horizontal="center" vertical="center" wrapText="1"/>
    </xf>
    <xf numFmtId="49" fontId="14" fillId="5" borderId="1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442</xdr:row>
      <xdr:rowOff>1270</xdr:rowOff>
    </xdr:from>
    <xdr:to>
      <xdr:col>7</xdr:col>
      <xdr:colOff>22860</xdr:colOff>
      <xdr:row>447</xdr:row>
      <xdr:rowOff>41294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67266820"/>
          <a:ext cx="7598410" cy="88773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Desde el mes de julio de 2000 se calcula el ingreso familiar con un hogar tipo de cuatro miembros con 1.60 perceptores de la Remuneración Básica unificada mínima.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 baseline="0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9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El cálculo del Ingreso Familiar Mensual del hogar tipo no incluye los fondos de reserva mensualizados. 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655725</xdr:colOff>
      <xdr:row>0</xdr:row>
      <xdr:rowOff>1152000</xdr:rowOff>
    </xdr:to>
    <xdr:grpSp>
      <xdr:nvGrpSpPr>
        <xdr:cNvPr id="3" name="Grupo 2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374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9" name="CuadroTexto 18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20" name="CuadroTexto 19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53"/>
  <sheetViews>
    <sheetView showGridLines="0" tabSelected="1" zoomScaleNormal="100" workbookViewId="0">
      <pane ySplit="9" topLeftCell="A437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1" customWidth="1"/>
    <col min="2" max="5" width="14.42578125" style="1" customWidth="1"/>
    <col min="6" max="6" width="16" style="1" customWidth="1"/>
    <col min="7" max="7" width="14.42578125" style="1" customWidth="1"/>
    <col min="8" max="8" width="11.5703125" style="1" customWidth="1"/>
    <col min="9" max="16384" width="11.5703125" style="1"/>
  </cols>
  <sheetData>
    <row r="1" spans="1:11" ht="90.75" customHeight="1" thickBot="1" x14ac:dyDescent="0.3"/>
    <row r="2" spans="1:11" ht="14.25" thickBot="1" x14ac:dyDescent="0.3"/>
    <row r="3" spans="1:11" ht="20.25" x14ac:dyDescent="0.3">
      <c r="A3" s="70" t="s">
        <v>0</v>
      </c>
      <c r="B3" s="71"/>
      <c r="C3" s="71"/>
      <c r="D3" s="71"/>
      <c r="E3" s="71"/>
      <c r="F3" s="71"/>
      <c r="G3" s="72"/>
    </row>
    <row r="4" spans="1:11" ht="14.25" thickBot="1" x14ac:dyDescent="0.3">
      <c r="A4" s="73" t="s">
        <v>1</v>
      </c>
      <c r="B4" s="74"/>
      <c r="C4" s="74"/>
      <c r="D4" s="74"/>
      <c r="E4" s="74"/>
      <c r="F4" s="74"/>
      <c r="G4" s="75"/>
    </row>
    <row r="5" spans="1:11" ht="12.75" customHeight="1" x14ac:dyDescent="0.25">
      <c r="A5" s="76" t="s">
        <v>2</v>
      </c>
      <c r="B5" s="79" t="s">
        <v>3</v>
      </c>
      <c r="C5" s="79" t="s">
        <v>4</v>
      </c>
      <c r="D5" s="79" t="s">
        <v>42</v>
      </c>
      <c r="E5" s="79" t="s">
        <v>43</v>
      </c>
      <c r="F5" s="79" t="s">
        <v>48</v>
      </c>
      <c r="G5" s="82" t="s">
        <v>47</v>
      </c>
    </row>
    <row r="6" spans="1:11" ht="12.75" customHeight="1" x14ac:dyDescent="0.25">
      <c r="A6" s="77"/>
      <c r="B6" s="80"/>
      <c r="C6" s="80"/>
      <c r="D6" s="80"/>
      <c r="E6" s="80"/>
      <c r="F6" s="80"/>
      <c r="G6" s="83"/>
    </row>
    <row r="7" spans="1:11" ht="12.75" customHeight="1" x14ac:dyDescent="0.25">
      <c r="A7" s="77"/>
      <c r="B7" s="80"/>
      <c r="C7" s="80"/>
      <c r="D7" s="80"/>
      <c r="E7" s="80"/>
      <c r="F7" s="80"/>
      <c r="G7" s="83"/>
    </row>
    <row r="8" spans="1:11" ht="12.75" customHeight="1" x14ac:dyDescent="0.25">
      <c r="A8" s="77"/>
      <c r="B8" s="80"/>
      <c r="C8" s="80"/>
      <c r="D8" s="80"/>
      <c r="E8" s="80"/>
      <c r="F8" s="80"/>
      <c r="G8" s="83"/>
    </row>
    <row r="9" spans="1:11" ht="12.75" customHeight="1" thickBot="1" x14ac:dyDescent="0.3">
      <c r="A9" s="78"/>
      <c r="B9" s="81"/>
      <c r="C9" s="81"/>
      <c r="D9" s="81"/>
      <c r="E9" s="81"/>
      <c r="F9" s="81"/>
      <c r="G9" s="84"/>
    </row>
    <row r="10" spans="1:11" ht="14.25" thickBot="1" x14ac:dyDescent="0.3">
      <c r="A10" s="2"/>
      <c r="B10" s="2"/>
      <c r="C10" s="2"/>
      <c r="D10" s="3"/>
      <c r="E10" s="3"/>
      <c r="F10" s="2"/>
      <c r="G10" s="2"/>
    </row>
    <row r="11" spans="1:11" x14ac:dyDescent="0.25">
      <c r="A11" s="33"/>
      <c r="B11" s="34"/>
      <c r="C11" s="34"/>
      <c r="D11" s="35"/>
      <c r="E11" s="35"/>
      <c r="F11" s="34"/>
      <c r="G11" s="36"/>
      <c r="J11" s="25"/>
    </row>
    <row r="12" spans="1:11" x14ac:dyDescent="0.25">
      <c r="A12" s="31" t="s">
        <v>5</v>
      </c>
      <c r="B12" s="40" t="s">
        <v>6</v>
      </c>
      <c r="C12" s="41">
        <v>1982</v>
      </c>
      <c r="D12" s="42">
        <f>10758/26.79</f>
        <v>401.56774916013438</v>
      </c>
      <c r="E12" s="42">
        <f>10758.44/26.79</f>
        <v>401.58417319895489</v>
      </c>
      <c r="F12" s="42">
        <f>+D12-E12</f>
        <v>-1.6424038820503029E-2</v>
      </c>
      <c r="G12" s="43">
        <f t="shared" ref="G12:G43" si="0">+F12/D12</f>
        <v>-4.0899795501141118E-5</v>
      </c>
      <c r="J12" s="25"/>
    </row>
    <row r="13" spans="1:11" x14ac:dyDescent="0.25">
      <c r="A13" s="31"/>
      <c r="B13" s="40" t="s">
        <v>7</v>
      </c>
      <c r="C13" s="41">
        <v>1983</v>
      </c>
      <c r="D13" s="42">
        <f>15965/44.49</f>
        <v>358.84468419869631</v>
      </c>
      <c r="E13" s="42">
        <f>13416.83/44.49</f>
        <v>301.56956619465046</v>
      </c>
      <c r="F13" s="42">
        <f t="shared" ref="F13:F44" si="1">+D13-E13</f>
        <v>57.275118004045851</v>
      </c>
      <c r="G13" s="43">
        <f t="shared" si="0"/>
        <v>0.15960977137488255</v>
      </c>
      <c r="J13" s="25"/>
    </row>
    <row r="14" spans="1:11" x14ac:dyDescent="0.25">
      <c r="A14" s="4" t="s">
        <v>8</v>
      </c>
      <c r="B14" s="44" t="s">
        <v>9</v>
      </c>
      <c r="C14" s="45">
        <v>1984</v>
      </c>
      <c r="D14" s="46">
        <f>17757/90</f>
        <v>197.3</v>
      </c>
      <c r="E14" s="46">
        <f>15692.71/90</f>
        <v>174.36344444444444</v>
      </c>
      <c r="F14" s="46">
        <f t="shared" si="1"/>
        <v>22.936555555555572</v>
      </c>
      <c r="G14" s="47">
        <f t="shared" si="0"/>
        <v>0.11625218223799072</v>
      </c>
      <c r="J14" s="25"/>
    </row>
    <row r="15" spans="1:11" x14ac:dyDescent="0.25">
      <c r="A15" s="4"/>
      <c r="B15" s="44" t="s">
        <v>10</v>
      </c>
      <c r="C15" s="45">
        <v>1985</v>
      </c>
      <c r="D15" s="46">
        <f>22932/120.76</f>
        <v>189.89731699238158</v>
      </c>
      <c r="E15" s="46">
        <f>20813.92/120.76</f>
        <v>172.35773434912221</v>
      </c>
      <c r="F15" s="46">
        <f t="shared" si="1"/>
        <v>17.539582643259365</v>
      </c>
      <c r="G15" s="47">
        <f t="shared" si="0"/>
        <v>9.2363509506366695E-2</v>
      </c>
      <c r="J15" s="25"/>
    </row>
    <row r="16" spans="1:11" x14ac:dyDescent="0.25">
      <c r="A16" s="4"/>
      <c r="B16" s="44" t="s">
        <v>9</v>
      </c>
      <c r="C16" s="45">
        <v>1986</v>
      </c>
      <c r="D16" s="46">
        <f>26616/130.74</f>
        <v>203.57962368058742</v>
      </c>
      <c r="E16" s="46">
        <f>24447.23/130.74</f>
        <v>186.99120391616947</v>
      </c>
      <c r="F16" s="46">
        <f t="shared" si="1"/>
        <v>16.588419764417949</v>
      </c>
      <c r="G16" s="47">
        <f t="shared" si="0"/>
        <v>8.1483694018635519E-2</v>
      </c>
      <c r="K16" s="26"/>
    </row>
    <row r="17" spans="1:11" x14ac:dyDescent="0.25">
      <c r="A17" s="4"/>
      <c r="B17" s="44" t="s">
        <v>11</v>
      </c>
      <c r="C17" s="45">
        <v>1986</v>
      </c>
      <c r="D17" s="46">
        <f>29640/161.5</f>
        <v>183.52941176470588</v>
      </c>
      <c r="E17" s="46">
        <f>27507.23/161.5</f>
        <v>170.32340557275541</v>
      </c>
      <c r="F17" s="46">
        <f t="shared" si="1"/>
        <v>13.206006191950479</v>
      </c>
      <c r="G17" s="47">
        <f t="shared" si="0"/>
        <v>7.1955802968960939E-2</v>
      </c>
      <c r="K17" s="26"/>
    </row>
    <row r="18" spans="1:11" x14ac:dyDescent="0.25">
      <c r="A18" s="4"/>
      <c r="B18" s="44" t="s">
        <v>7</v>
      </c>
      <c r="C18" s="45">
        <v>1987</v>
      </c>
      <c r="D18" s="46">
        <f>37667/192.77</f>
        <v>195.39866161747159</v>
      </c>
      <c r="E18" s="46">
        <f>32892.89/192.77</f>
        <v>170.6328266846501</v>
      </c>
      <c r="F18" s="46">
        <f t="shared" si="1"/>
        <v>24.765834932821491</v>
      </c>
      <c r="G18" s="47">
        <f t="shared" si="0"/>
        <v>0.12674516154724291</v>
      </c>
      <c r="K18" s="26"/>
    </row>
    <row r="19" spans="1:11" x14ac:dyDescent="0.25">
      <c r="A19" s="4"/>
      <c r="B19" s="44" t="s">
        <v>12</v>
      </c>
      <c r="C19" s="45">
        <v>1988</v>
      </c>
      <c r="D19" s="46">
        <f>59354/462.75</f>
        <v>128.2636412749865</v>
      </c>
      <c r="E19" s="46">
        <f>42166.17/462.75</f>
        <v>91.120842787682335</v>
      </c>
      <c r="F19" s="46">
        <f t="shared" si="1"/>
        <v>37.142798487304162</v>
      </c>
      <c r="G19" s="47">
        <f t="shared" si="0"/>
        <v>0.28958166256697104</v>
      </c>
      <c r="K19" s="26"/>
    </row>
    <row r="20" spans="1:11" x14ac:dyDescent="0.25">
      <c r="A20" s="31" t="s">
        <v>13</v>
      </c>
      <c r="B20" s="48" t="s">
        <v>14</v>
      </c>
      <c r="C20" s="41">
        <v>1988</v>
      </c>
      <c r="D20" s="42">
        <f>70169/517.61</f>
        <v>135.5634551109909</v>
      </c>
      <c r="E20" s="42">
        <f>47123.37/517.61</f>
        <v>91.040300612430215</v>
      </c>
      <c r="F20" s="42">
        <f t="shared" si="1"/>
        <v>44.523154498560686</v>
      </c>
      <c r="G20" s="43">
        <f t="shared" si="0"/>
        <v>0.3284303609856204</v>
      </c>
      <c r="K20" s="26"/>
    </row>
    <row r="21" spans="1:11" x14ac:dyDescent="0.25">
      <c r="A21" s="31"/>
      <c r="B21" s="48" t="s">
        <v>15</v>
      </c>
      <c r="C21" s="41">
        <v>1989</v>
      </c>
      <c r="D21" s="42">
        <f>104177/529.76</f>
        <v>196.64942615524012</v>
      </c>
      <c r="E21" s="42">
        <f>57840.79/529.76</f>
        <v>109.18300739957716</v>
      </c>
      <c r="F21" s="42">
        <f t="shared" si="1"/>
        <v>87.466418755662957</v>
      </c>
      <c r="G21" s="43">
        <f t="shared" si="0"/>
        <v>0.44478349347744711</v>
      </c>
    </row>
    <row r="22" spans="1:11" x14ac:dyDescent="0.25">
      <c r="A22" s="31"/>
      <c r="B22" s="48" t="s">
        <v>6</v>
      </c>
      <c r="C22" s="41">
        <v>1989</v>
      </c>
      <c r="D22" s="42">
        <f>124785/662.46</f>
        <v>188.36609002807717</v>
      </c>
      <c r="E22" s="42">
        <f>69483.25/662.46</f>
        <v>104.88671014098963</v>
      </c>
      <c r="F22" s="42">
        <f t="shared" si="1"/>
        <v>83.479379887087532</v>
      </c>
      <c r="G22" s="43">
        <f t="shared" si="0"/>
        <v>0.44317626317265701</v>
      </c>
    </row>
    <row r="23" spans="1:11" x14ac:dyDescent="0.25">
      <c r="A23" s="31"/>
      <c r="B23" s="48" t="s">
        <v>16</v>
      </c>
      <c r="C23" s="41">
        <v>1990</v>
      </c>
      <c r="D23" s="42">
        <f>173106.923/862.92</f>
        <v>200.60599244425904</v>
      </c>
      <c r="E23" s="42">
        <f>81468.86/862.92</f>
        <v>94.410675381263616</v>
      </c>
      <c r="F23" s="42">
        <f t="shared" si="1"/>
        <v>106.19531706299543</v>
      </c>
      <c r="G23" s="43">
        <f t="shared" si="0"/>
        <v>0.52937260631684846</v>
      </c>
    </row>
    <row r="24" spans="1:11" x14ac:dyDescent="0.25">
      <c r="A24" s="31"/>
      <c r="B24" s="48" t="s">
        <v>6</v>
      </c>
      <c r="C24" s="41">
        <v>1990</v>
      </c>
      <c r="D24" s="42">
        <f>179071.288/873.01</f>
        <v>205.11940069415013</v>
      </c>
      <c r="E24" s="42">
        <f>81468.86/873.01</f>
        <v>93.319503785752744</v>
      </c>
      <c r="F24" s="42">
        <f t="shared" si="1"/>
        <v>111.79989690839739</v>
      </c>
      <c r="G24" s="43">
        <f t="shared" si="0"/>
        <v>0.5450478917647591</v>
      </c>
    </row>
    <row r="25" spans="1:11" x14ac:dyDescent="0.25">
      <c r="A25" s="31"/>
      <c r="B25" s="48" t="s">
        <v>17</v>
      </c>
      <c r="C25" s="41">
        <v>1990</v>
      </c>
      <c r="D25" s="42">
        <f>183772.611/876.69</f>
        <v>209.62097320603633</v>
      </c>
      <c r="E25" s="42">
        <f>81468.86/876.69</f>
        <v>92.927785192029106</v>
      </c>
      <c r="F25" s="42">
        <f t="shared" si="1"/>
        <v>116.69318801400722</v>
      </c>
      <c r="G25" s="43">
        <f t="shared" si="0"/>
        <v>0.55668660549204474</v>
      </c>
    </row>
    <row r="26" spans="1:11" x14ac:dyDescent="0.25">
      <c r="A26" s="31"/>
      <c r="B26" s="48" t="s">
        <v>18</v>
      </c>
      <c r="C26" s="41">
        <v>1991</v>
      </c>
      <c r="D26" s="42">
        <f>193596.271/936.17</f>
        <v>206.79606374910543</v>
      </c>
      <c r="E26" s="42">
        <f>94350.01/936.17</f>
        <v>100.78298813249731</v>
      </c>
      <c r="F26" s="42">
        <f t="shared" si="1"/>
        <v>106.01307561660812</v>
      </c>
      <c r="G26" s="43">
        <f t="shared" si="0"/>
        <v>0.51264551991293261</v>
      </c>
    </row>
    <row r="27" spans="1:11" x14ac:dyDescent="0.25">
      <c r="A27" s="31"/>
      <c r="B27" s="48" t="s">
        <v>19</v>
      </c>
      <c r="C27" s="41">
        <v>1991</v>
      </c>
      <c r="D27" s="42">
        <f>201455.199/978.4</f>
        <v>205.902697260834</v>
      </c>
      <c r="E27" s="42">
        <f>94350.01/798.4</f>
        <v>118.17386022044087</v>
      </c>
      <c r="F27" s="42">
        <f t="shared" si="1"/>
        <v>87.728837040393131</v>
      </c>
      <c r="G27" s="43">
        <f t="shared" si="0"/>
        <v>0.42606939203549987</v>
      </c>
    </row>
    <row r="28" spans="1:11" x14ac:dyDescent="0.25">
      <c r="A28" s="31"/>
      <c r="B28" s="48" t="s">
        <v>20</v>
      </c>
      <c r="C28" s="41">
        <v>1991</v>
      </c>
      <c r="D28" s="42">
        <f>208822.944/1015</f>
        <v>205.73689064039408</v>
      </c>
      <c r="E28" s="42">
        <f>94350.01/1015</f>
        <v>92.955674876847283</v>
      </c>
      <c r="F28" s="42">
        <f t="shared" si="1"/>
        <v>112.7812157635468</v>
      </c>
      <c r="G28" s="43">
        <f t="shared" si="0"/>
        <v>0.54818178408594798</v>
      </c>
    </row>
    <row r="29" spans="1:11" x14ac:dyDescent="0.25">
      <c r="A29" s="31"/>
      <c r="B29" s="48" t="s">
        <v>21</v>
      </c>
      <c r="C29" s="41">
        <v>1991</v>
      </c>
      <c r="D29" s="42">
        <f>214927.647/1037.85</f>
        <v>207.08931637519873</v>
      </c>
      <c r="E29" s="42">
        <f>94350.01/1037.85</f>
        <v>90.909100544394661</v>
      </c>
      <c r="F29" s="42">
        <f t="shared" si="1"/>
        <v>116.18021583080407</v>
      </c>
      <c r="G29" s="43">
        <f t="shared" si="0"/>
        <v>0.56101501450858016</v>
      </c>
    </row>
    <row r="30" spans="1:11" x14ac:dyDescent="0.25">
      <c r="A30" s="31"/>
      <c r="B30" s="48" t="s">
        <v>15</v>
      </c>
      <c r="C30" s="41">
        <v>1991</v>
      </c>
      <c r="D30" s="42">
        <f>223768.941/1113.89</f>
        <v>200.8896219554893</v>
      </c>
      <c r="E30" s="42">
        <f>94350.01/1113.89</f>
        <v>84.703166380881399</v>
      </c>
      <c r="F30" s="42">
        <f t="shared" si="1"/>
        <v>116.1864555746079</v>
      </c>
      <c r="G30" s="43">
        <f t="shared" si="0"/>
        <v>0.57835967056750748</v>
      </c>
    </row>
    <row r="31" spans="1:11" x14ac:dyDescent="0.25">
      <c r="A31" s="31"/>
      <c r="B31" s="48" t="s">
        <v>12</v>
      </c>
      <c r="C31" s="41">
        <v>1991</v>
      </c>
      <c r="D31" s="42">
        <f>230785.841/1121.55</f>
        <v>205.77401007534215</v>
      </c>
      <c r="E31" s="42">
        <f>94350.01/1121.55</f>
        <v>84.124657839596992</v>
      </c>
      <c r="F31" s="42">
        <f t="shared" si="1"/>
        <v>121.64935223574516</v>
      </c>
      <c r="G31" s="43">
        <f t="shared" si="0"/>
        <v>0.59117938262079084</v>
      </c>
    </row>
    <row r="32" spans="1:11" x14ac:dyDescent="0.25">
      <c r="A32" s="31"/>
      <c r="B32" s="48" t="s">
        <v>7</v>
      </c>
      <c r="C32" s="41">
        <v>1991</v>
      </c>
      <c r="D32" s="42">
        <f>236399.361/1121.01</f>
        <v>210.88068884309686</v>
      </c>
      <c r="E32" s="42">
        <f>94350.01/1121.01</f>
        <v>84.165181398917042</v>
      </c>
      <c r="F32" s="42">
        <f t="shared" si="1"/>
        <v>126.71550744417982</v>
      </c>
      <c r="G32" s="43">
        <f t="shared" si="0"/>
        <v>0.60088720375179028</v>
      </c>
    </row>
    <row r="33" spans="1:7" x14ac:dyDescent="0.25">
      <c r="A33" s="31"/>
      <c r="B33" s="48" t="s">
        <v>11</v>
      </c>
      <c r="C33" s="41">
        <v>1991</v>
      </c>
      <c r="D33" s="42">
        <f>242223.388/1113.3</f>
        <v>217.57243150992545</v>
      </c>
      <c r="E33" s="42">
        <f>94350.01/1113.3</f>
        <v>84.748055330997929</v>
      </c>
      <c r="F33" s="42">
        <f t="shared" si="1"/>
        <v>132.82437617892754</v>
      </c>
      <c r="G33" s="43">
        <f t="shared" si="0"/>
        <v>0.61048348477398073</v>
      </c>
    </row>
    <row r="34" spans="1:7" x14ac:dyDescent="0.25">
      <c r="A34" s="31"/>
      <c r="B34" s="48" t="s">
        <v>14</v>
      </c>
      <c r="C34" s="41">
        <v>1991</v>
      </c>
      <c r="D34" s="42">
        <f>251134.851/1127.25</f>
        <v>222.78540785096473</v>
      </c>
      <c r="E34" s="42">
        <f>94350.01/1127.25</f>
        <v>83.699277001552446</v>
      </c>
      <c r="F34" s="42">
        <f t="shared" si="1"/>
        <v>139.08613084941229</v>
      </c>
      <c r="G34" s="43">
        <f t="shared" si="0"/>
        <v>0.62430538961715032</v>
      </c>
    </row>
    <row r="35" spans="1:7" x14ac:dyDescent="0.25">
      <c r="A35" s="31"/>
      <c r="B35" s="48" t="s">
        <v>16</v>
      </c>
      <c r="C35" s="41">
        <v>1991</v>
      </c>
      <c r="D35" s="42">
        <f>258362.258/1162.3</f>
        <v>222.28534629613699</v>
      </c>
      <c r="E35" s="42">
        <f>105825.01/1162.3</f>
        <v>91.047930826808908</v>
      </c>
      <c r="F35" s="42">
        <f t="shared" si="1"/>
        <v>131.23741546932808</v>
      </c>
      <c r="G35" s="43">
        <f t="shared" si="0"/>
        <v>0.59040066138452785</v>
      </c>
    </row>
    <row r="36" spans="1:7" x14ac:dyDescent="0.25">
      <c r="A36" s="31"/>
      <c r="B36" s="48" t="s">
        <v>6</v>
      </c>
      <c r="C36" s="41">
        <v>1991</v>
      </c>
      <c r="D36" s="42">
        <f>264466.961/1196.68</f>
        <v>221.00056907443928</v>
      </c>
      <c r="E36" s="42">
        <f>105825.01/1196.68</f>
        <v>88.432170672193052</v>
      </c>
      <c r="F36" s="42">
        <f t="shared" si="1"/>
        <v>132.56839840224623</v>
      </c>
      <c r="G36" s="43">
        <f t="shared" si="0"/>
        <v>0.59985546171871362</v>
      </c>
    </row>
    <row r="37" spans="1:7" x14ac:dyDescent="0.25">
      <c r="A37" s="31"/>
      <c r="B37" s="48" t="s">
        <v>17</v>
      </c>
      <c r="C37" s="41">
        <v>1991</v>
      </c>
      <c r="D37" s="42">
        <f>276536.029/1286.84</f>
        <v>214.89542522768954</v>
      </c>
      <c r="E37" s="42">
        <f>105825.01/1286.84</f>
        <v>82.236338627956854</v>
      </c>
      <c r="F37" s="42">
        <f t="shared" si="1"/>
        <v>132.65908659973269</v>
      </c>
      <c r="G37" s="43">
        <f t="shared" si="0"/>
        <v>0.61731926800756953</v>
      </c>
    </row>
    <row r="38" spans="1:7" x14ac:dyDescent="0.25">
      <c r="A38" s="31"/>
      <c r="B38" s="48" t="s">
        <v>9</v>
      </c>
      <c r="C38" s="41">
        <v>1992</v>
      </c>
      <c r="D38" s="42">
        <f>289868.139/1336.13</f>
        <v>216.94605988938201</v>
      </c>
      <c r="E38" s="42">
        <f>121125.01/1336.13</f>
        <v>90.65361154977434</v>
      </c>
      <c r="F38" s="42">
        <f t="shared" si="1"/>
        <v>126.29244833960767</v>
      </c>
      <c r="G38" s="43">
        <f t="shared" si="0"/>
        <v>0.5821375525510929</v>
      </c>
    </row>
    <row r="39" spans="1:7" x14ac:dyDescent="0.25">
      <c r="A39" s="31"/>
      <c r="B39" s="48" t="s">
        <v>22</v>
      </c>
      <c r="C39" s="41">
        <v>1992</v>
      </c>
      <c r="D39" s="42">
        <f>300112.813/1345.47</f>
        <v>223.05425836324855</v>
      </c>
      <c r="E39" s="42">
        <f>121125.01/1345.47</f>
        <v>90.024311207236124</v>
      </c>
      <c r="F39" s="42">
        <f t="shared" si="1"/>
        <v>133.02994715601244</v>
      </c>
      <c r="G39" s="43">
        <f t="shared" si="0"/>
        <v>0.59640173710277422</v>
      </c>
    </row>
    <row r="40" spans="1:7" x14ac:dyDescent="0.25">
      <c r="A40" s="31"/>
      <c r="B40" s="48" t="s">
        <v>10</v>
      </c>
      <c r="C40" s="41">
        <v>1992</v>
      </c>
      <c r="D40" s="42">
        <f>309585.628/1342.13</f>
        <v>230.66739287550385</v>
      </c>
      <c r="E40" s="42">
        <f>121125.01/1342.13</f>
        <v>90.248344050129262</v>
      </c>
      <c r="F40" s="42">
        <f t="shared" si="1"/>
        <v>140.4190488253746</v>
      </c>
      <c r="G40" s="43">
        <f t="shared" si="0"/>
        <v>0.60875118531019157</v>
      </c>
    </row>
    <row r="41" spans="1:7" x14ac:dyDescent="0.25">
      <c r="A41" s="31"/>
      <c r="B41" s="48" t="s">
        <v>21</v>
      </c>
      <c r="C41" s="41">
        <v>1992</v>
      </c>
      <c r="D41" s="42">
        <f>325864.836/1384.96</f>
        <v>235.28826536506469</v>
      </c>
      <c r="E41" s="42">
        <f>121125.01/1384.96</f>
        <v>87.457406712107201</v>
      </c>
      <c r="F41" s="42">
        <f t="shared" si="1"/>
        <v>147.83085865295749</v>
      </c>
      <c r="G41" s="43">
        <f t="shared" si="0"/>
        <v>0.62829677639719317</v>
      </c>
    </row>
    <row r="42" spans="1:7" x14ac:dyDescent="0.25">
      <c r="A42" s="31"/>
      <c r="B42" s="48" t="s">
        <v>15</v>
      </c>
      <c r="C42" s="41">
        <v>1992</v>
      </c>
      <c r="D42" s="42">
        <f>338425.087/1453.01</f>
        <v>232.91311622081059</v>
      </c>
      <c r="E42" s="42">
        <f>121125.01/1453.01</f>
        <v>83.361442798053687</v>
      </c>
      <c r="F42" s="42">
        <f t="shared" si="1"/>
        <v>149.55167342275689</v>
      </c>
      <c r="G42" s="43">
        <f t="shared" si="0"/>
        <v>0.6420921064873657</v>
      </c>
    </row>
    <row r="43" spans="1:7" x14ac:dyDescent="0.25">
      <c r="A43" s="31"/>
      <c r="B43" s="48" t="s">
        <v>12</v>
      </c>
      <c r="C43" s="41">
        <v>1992</v>
      </c>
      <c r="D43" s="42">
        <f>350915.169/1490.31</f>
        <v>235.46454697344848</v>
      </c>
      <c r="E43" s="42">
        <f>121125.01/1490.31</f>
        <v>81.275043447336458</v>
      </c>
      <c r="F43" s="42">
        <f t="shared" si="1"/>
        <v>154.18950352611202</v>
      </c>
      <c r="G43" s="43">
        <f t="shared" si="0"/>
        <v>0.65483107970177257</v>
      </c>
    </row>
    <row r="44" spans="1:7" x14ac:dyDescent="0.25">
      <c r="A44" s="31"/>
      <c r="B44" s="48" t="s">
        <v>7</v>
      </c>
      <c r="C44" s="41">
        <v>1992</v>
      </c>
      <c r="D44" s="42">
        <f>362212.378/1530.54</f>
        <v>236.65659048440423</v>
      </c>
      <c r="E44" s="42">
        <f>121125.01/1530.54</f>
        <v>79.138741881950153</v>
      </c>
      <c r="F44" s="42">
        <f t="shared" si="1"/>
        <v>157.51784860245408</v>
      </c>
      <c r="G44" s="43">
        <f>+F44/D44</f>
        <v>0.66559671243482477</v>
      </c>
    </row>
    <row r="45" spans="1:7" x14ac:dyDescent="0.25">
      <c r="A45" s="4" t="s">
        <v>23</v>
      </c>
      <c r="B45" s="44" t="s">
        <v>11</v>
      </c>
      <c r="C45" s="45">
        <v>1992</v>
      </c>
      <c r="D45" s="46">
        <f>378842.431/1691.64</f>
        <v>223.94979487361374</v>
      </c>
      <c r="E45" s="46">
        <f>124369/1691.64</f>
        <v>73.519779622141826</v>
      </c>
      <c r="F45" s="46">
        <f>+D45-E45</f>
        <v>150.4300152514719</v>
      </c>
      <c r="G45" s="47">
        <f>+F45/D45</f>
        <v>0.67171311916747778</v>
      </c>
    </row>
    <row r="46" spans="1:7" x14ac:dyDescent="0.25">
      <c r="A46" s="4"/>
      <c r="B46" s="44" t="s">
        <v>12</v>
      </c>
      <c r="C46" s="45">
        <v>1993</v>
      </c>
      <c r="D46" s="46">
        <f>557580/1908.09</f>
        <v>292.21892049117179</v>
      </c>
      <c r="E46" s="46">
        <f>246598.34/1908.09</f>
        <v>129.23831685088231</v>
      </c>
      <c r="F46" s="46">
        <f>+D46-E46</f>
        <v>162.98060364028947</v>
      </c>
      <c r="G46" s="47">
        <f t="shared" ref="G46:G109" si="2">+F46/D46</f>
        <v>0.55773460310628065</v>
      </c>
    </row>
    <row r="47" spans="1:7" x14ac:dyDescent="0.25">
      <c r="A47" s="4"/>
      <c r="B47" s="44" t="s">
        <v>7</v>
      </c>
      <c r="C47" s="45">
        <v>1993</v>
      </c>
      <c r="D47" s="46">
        <f>566808/1926.98</f>
        <v>294.14316702819957</v>
      </c>
      <c r="E47" s="46">
        <f>281213.34/1926.98</f>
        <v>145.93474763619759</v>
      </c>
      <c r="F47" s="46">
        <f>+D47-E47</f>
        <v>148.20841939200199</v>
      </c>
      <c r="G47" s="47">
        <f t="shared" si="2"/>
        <v>0.50386490663505101</v>
      </c>
    </row>
    <row r="48" spans="1:7" x14ac:dyDescent="0.25">
      <c r="A48" s="4"/>
      <c r="B48" s="44" t="s">
        <v>11</v>
      </c>
      <c r="C48" s="45">
        <v>1993</v>
      </c>
      <c r="D48" s="46">
        <f>575597/1946.33</f>
        <v>295.73453628110343</v>
      </c>
      <c r="E48" s="46">
        <f>281213.34/1946.33</f>
        <v>144.48389533121312</v>
      </c>
      <c r="F48" s="46">
        <f>+D48-E48</f>
        <v>151.25064094989031</v>
      </c>
      <c r="G48" s="47">
        <f t="shared" si="2"/>
        <v>0.51144057387373454</v>
      </c>
    </row>
    <row r="49" spans="1:7" x14ac:dyDescent="0.25">
      <c r="A49" s="4"/>
      <c r="B49" s="44" t="s">
        <v>14</v>
      </c>
      <c r="C49" s="45">
        <v>1993</v>
      </c>
      <c r="D49" s="46">
        <f>588754/1951.24</f>
        <v>301.73325680080359</v>
      </c>
      <c r="E49" s="46">
        <f>282823.34/1951.24</f>
        <v>144.94543982288187</v>
      </c>
      <c r="F49" s="46">
        <f t="shared" ref="F49:F92" si="3">+D49-E49</f>
        <v>156.78781697792172</v>
      </c>
      <c r="G49" s="47">
        <f t="shared" si="2"/>
        <v>0.51962391762943438</v>
      </c>
    </row>
    <row r="50" spans="1:7" x14ac:dyDescent="0.25">
      <c r="A50" s="4"/>
      <c r="B50" s="44" t="s">
        <v>16</v>
      </c>
      <c r="C50" s="45">
        <v>1993</v>
      </c>
      <c r="D50" s="46">
        <f>603732/1948.31</f>
        <v>309.87471192982639</v>
      </c>
      <c r="E50" s="46">
        <f>287653.34/1948.31</f>
        <v>147.64249015813706</v>
      </c>
      <c r="F50" s="46">
        <f t="shared" si="3"/>
        <v>162.23222177168932</v>
      </c>
      <c r="G50" s="47">
        <f t="shared" si="2"/>
        <v>0.52354133953476045</v>
      </c>
    </row>
    <row r="51" spans="1:7" x14ac:dyDescent="0.25">
      <c r="A51" s="4"/>
      <c r="B51" s="44" t="s">
        <v>6</v>
      </c>
      <c r="C51" s="45">
        <v>1993</v>
      </c>
      <c r="D51" s="46">
        <f>613140/1977.85</f>
        <v>310.00328639684506</v>
      </c>
      <c r="E51" s="46">
        <f>287653.34/1977.85</f>
        <v>145.43738908410648</v>
      </c>
      <c r="F51" s="46">
        <f t="shared" si="3"/>
        <v>164.56589731273857</v>
      </c>
      <c r="G51" s="47">
        <f t="shared" si="2"/>
        <v>0.53085210555501183</v>
      </c>
    </row>
    <row r="52" spans="1:7" x14ac:dyDescent="0.25">
      <c r="A52" s="4"/>
      <c r="B52" s="44" t="s">
        <v>17</v>
      </c>
      <c r="C52" s="45">
        <v>1993</v>
      </c>
      <c r="D52" s="46">
        <f>617923/2014.7</f>
        <v>306.70720206482355</v>
      </c>
      <c r="E52" s="46">
        <f>287653.34/2014.7</f>
        <v>142.77725715987492</v>
      </c>
      <c r="F52" s="46">
        <f t="shared" si="3"/>
        <v>163.92994490494863</v>
      </c>
      <c r="G52" s="47">
        <f t="shared" si="2"/>
        <v>0.53448351979130082</v>
      </c>
    </row>
    <row r="53" spans="1:7" x14ac:dyDescent="0.25">
      <c r="A53" s="4"/>
      <c r="B53" s="44" t="s">
        <v>18</v>
      </c>
      <c r="C53" s="45">
        <v>1994</v>
      </c>
      <c r="D53" s="46">
        <f>657900/2082.16</f>
        <v>315.96995427824953</v>
      </c>
      <c r="E53" s="46">
        <f>339173.34/2082.16</f>
        <v>162.89494563338076</v>
      </c>
      <c r="F53" s="46">
        <f t="shared" si="3"/>
        <v>153.07500864486877</v>
      </c>
      <c r="G53" s="47">
        <f t="shared" si="2"/>
        <v>0.48446064751481982</v>
      </c>
    </row>
    <row r="54" spans="1:7" x14ac:dyDescent="0.25">
      <c r="A54" s="4"/>
      <c r="B54" s="44" t="s">
        <v>19</v>
      </c>
      <c r="C54" s="45">
        <v>1994</v>
      </c>
      <c r="D54" s="46">
        <f>679466/2068.7</f>
        <v>328.45071784212308</v>
      </c>
      <c r="E54" s="46">
        <f>339173.34/2068.7</f>
        <v>163.95482186880653</v>
      </c>
      <c r="F54" s="46">
        <f t="shared" si="3"/>
        <v>164.49589597331655</v>
      </c>
      <c r="G54" s="47">
        <f t="shared" si="2"/>
        <v>0.50082367623987067</v>
      </c>
    </row>
    <row r="55" spans="1:7" x14ac:dyDescent="0.25">
      <c r="A55" s="4"/>
      <c r="B55" s="44" t="s">
        <v>20</v>
      </c>
      <c r="C55" s="45">
        <v>1994</v>
      </c>
      <c r="D55" s="46">
        <f>701925/2121.45</f>
        <v>330.87039524853287</v>
      </c>
      <c r="E55" s="46">
        <f>339173.34/2121.45</f>
        <v>159.87807395884892</v>
      </c>
      <c r="F55" s="46">
        <f t="shared" si="3"/>
        <v>170.99232128968396</v>
      </c>
      <c r="G55" s="47">
        <f t="shared" si="2"/>
        <v>0.51679546960145317</v>
      </c>
    </row>
    <row r="56" spans="1:7" x14ac:dyDescent="0.25">
      <c r="A56" s="4"/>
      <c r="B56" s="44" t="s">
        <v>21</v>
      </c>
      <c r="C56" s="45">
        <v>1994</v>
      </c>
      <c r="D56" s="46">
        <f>719981/2161.27</f>
        <v>333.12866971734212</v>
      </c>
      <c r="E56" s="46">
        <f>339173.34/2161.27</f>
        <v>156.9324239914495</v>
      </c>
      <c r="F56" s="46">
        <f t="shared" si="3"/>
        <v>176.19624572589262</v>
      </c>
      <c r="G56" s="47">
        <f t="shared" si="2"/>
        <v>0.5289134852169709</v>
      </c>
    </row>
    <row r="57" spans="1:7" x14ac:dyDescent="0.25">
      <c r="A57" s="4"/>
      <c r="B57" s="44" t="s">
        <v>15</v>
      </c>
      <c r="C57" s="45">
        <v>1994</v>
      </c>
      <c r="D57" s="46">
        <f>731723/2170.38</f>
        <v>337.14050074180557</v>
      </c>
      <c r="E57" s="46">
        <f>339173.34/2170.38</f>
        <v>156.27371243745336</v>
      </c>
      <c r="F57" s="46">
        <f t="shared" si="3"/>
        <v>180.86678830435221</v>
      </c>
      <c r="G57" s="47">
        <f t="shared" si="2"/>
        <v>0.53647303692790849</v>
      </c>
    </row>
    <row r="58" spans="1:7" x14ac:dyDescent="0.25">
      <c r="A58" s="4"/>
      <c r="B58" s="44" t="s">
        <v>12</v>
      </c>
      <c r="C58" s="45">
        <v>1994</v>
      </c>
      <c r="D58" s="46">
        <f>744570/2180.99</f>
        <v>341.39083627160147</v>
      </c>
      <c r="E58" s="46">
        <f>339173.34/2180.99</f>
        <v>155.51347782429082</v>
      </c>
      <c r="F58" s="46">
        <f t="shared" si="3"/>
        <v>185.87735844731066</v>
      </c>
      <c r="G58" s="47">
        <f t="shared" si="2"/>
        <v>0.54447084894637177</v>
      </c>
    </row>
    <row r="59" spans="1:7" x14ac:dyDescent="0.25">
      <c r="A59" s="4"/>
      <c r="B59" s="44" t="s">
        <v>7</v>
      </c>
      <c r="C59" s="45">
        <v>1994</v>
      </c>
      <c r="D59" s="46">
        <f>754187/2199.46</f>
        <v>342.89643821665317</v>
      </c>
      <c r="E59" s="46">
        <f>431480/2199.46</f>
        <v>196.17542487701527</v>
      </c>
      <c r="F59" s="46">
        <f t="shared" si="3"/>
        <v>146.72101333963789</v>
      </c>
      <c r="G59" s="47">
        <f t="shared" si="2"/>
        <v>0.42788724812281298</v>
      </c>
    </row>
    <row r="60" spans="1:7" x14ac:dyDescent="0.25">
      <c r="A60" s="4"/>
      <c r="B60" s="44" t="s">
        <v>11</v>
      </c>
      <c r="C60" s="45">
        <v>1994</v>
      </c>
      <c r="D60" s="46">
        <f>765234/2241.19</f>
        <v>341.44093093401273</v>
      </c>
      <c r="E60" s="46">
        <f>431480/2241.19</f>
        <v>192.52272230377611</v>
      </c>
      <c r="F60" s="46">
        <f t="shared" si="3"/>
        <v>148.91820863023662</v>
      </c>
      <c r="G60" s="47">
        <f t="shared" si="2"/>
        <v>0.43614632909672074</v>
      </c>
    </row>
    <row r="61" spans="1:7" x14ac:dyDescent="0.25">
      <c r="A61" s="4"/>
      <c r="B61" s="44" t="s">
        <v>14</v>
      </c>
      <c r="C61" s="45">
        <v>1994</v>
      </c>
      <c r="D61" s="46">
        <f>777623/2262.92</f>
        <v>343.63698230604706</v>
      </c>
      <c r="E61" s="46">
        <f>431480/2262.92</f>
        <v>190.6739964293921</v>
      </c>
      <c r="F61" s="46">
        <f t="shared" si="3"/>
        <v>152.96298587665495</v>
      </c>
      <c r="G61" s="47">
        <f t="shared" si="2"/>
        <v>0.44512958078657655</v>
      </c>
    </row>
    <row r="62" spans="1:7" x14ac:dyDescent="0.25">
      <c r="A62" s="4"/>
      <c r="B62" s="44" t="s">
        <v>16</v>
      </c>
      <c r="C62" s="45">
        <v>1994</v>
      </c>
      <c r="D62" s="46">
        <f>791710/2279.27</f>
        <v>347.35244179057332</v>
      </c>
      <c r="E62" s="46">
        <f>431480/2279.27</f>
        <v>189.30622523878259</v>
      </c>
      <c r="F62" s="46">
        <f t="shared" si="3"/>
        <v>158.04621655179074</v>
      </c>
      <c r="G62" s="47">
        <f t="shared" si="2"/>
        <v>0.45500246302307668</v>
      </c>
    </row>
    <row r="63" spans="1:7" x14ac:dyDescent="0.25">
      <c r="A63" s="4"/>
      <c r="B63" s="44" t="s">
        <v>6</v>
      </c>
      <c r="C63" s="45">
        <v>1994</v>
      </c>
      <c r="D63" s="46">
        <f>807400/2303.73</f>
        <v>350.47509907845102</v>
      </c>
      <c r="E63" s="46">
        <f>431480/2303.73</f>
        <v>187.29625433536049</v>
      </c>
      <c r="F63" s="46">
        <f t="shared" si="3"/>
        <v>163.17884474309054</v>
      </c>
      <c r="G63" s="47">
        <f t="shared" si="2"/>
        <v>0.46559326232350751</v>
      </c>
    </row>
    <row r="64" spans="1:7" x14ac:dyDescent="0.25">
      <c r="A64" s="4"/>
      <c r="B64" s="44" t="s">
        <v>17</v>
      </c>
      <c r="C64" s="45">
        <v>1994</v>
      </c>
      <c r="D64" s="46">
        <f>831727/2299.28</f>
        <v>361.73367314985558</v>
      </c>
      <c r="E64" s="46">
        <f>431480/2299.28</f>
        <v>187.65874534636927</v>
      </c>
      <c r="F64" s="46">
        <f t="shared" si="3"/>
        <v>174.0749278034863</v>
      </c>
      <c r="G64" s="47">
        <f t="shared" si="2"/>
        <v>0.48122400739665783</v>
      </c>
    </row>
    <row r="65" spans="1:7" x14ac:dyDescent="0.25">
      <c r="A65" s="4"/>
      <c r="B65" s="44" t="s">
        <v>18</v>
      </c>
      <c r="C65" s="45">
        <v>1995</v>
      </c>
      <c r="D65" s="46">
        <f>858832/2348.91</f>
        <v>365.63001562426831</v>
      </c>
      <c r="E65" s="46">
        <f>533580.84/2348.91</f>
        <v>227.16104065289858</v>
      </c>
      <c r="F65" s="46">
        <f t="shared" si="3"/>
        <v>138.46897497136973</v>
      </c>
      <c r="G65" s="47">
        <f t="shared" si="2"/>
        <v>0.37871336885444423</v>
      </c>
    </row>
    <row r="66" spans="1:7" x14ac:dyDescent="0.25">
      <c r="A66" s="4"/>
      <c r="B66" s="44" t="s">
        <v>19</v>
      </c>
      <c r="C66" s="45">
        <v>1995</v>
      </c>
      <c r="D66" s="46">
        <f>876887/2353.18</f>
        <v>372.63915212605923</v>
      </c>
      <c r="E66" s="46">
        <f>533580.84/2353.18</f>
        <v>226.74884199253776</v>
      </c>
      <c r="F66" s="46">
        <f t="shared" si="3"/>
        <v>145.89031013352147</v>
      </c>
      <c r="G66" s="47">
        <f t="shared" si="2"/>
        <v>0.39150558737898955</v>
      </c>
    </row>
    <row r="67" spans="1:7" x14ac:dyDescent="0.25">
      <c r="A67" s="4"/>
      <c r="B67" s="44" t="s">
        <v>20</v>
      </c>
      <c r="C67" s="45">
        <v>1995</v>
      </c>
      <c r="D67" s="46">
        <f>893171/2406.9</f>
        <v>371.08770617807136</v>
      </c>
      <c r="E67" s="46">
        <f>533580.84/2353.18</f>
        <v>226.74884199253776</v>
      </c>
      <c r="F67" s="46">
        <f t="shared" si="3"/>
        <v>144.33886418553359</v>
      </c>
      <c r="G67" s="47">
        <f t="shared" si="2"/>
        <v>0.38896158989506019</v>
      </c>
    </row>
    <row r="68" spans="1:7" x14ac:dyDescent="0.25">
      <c r="A68" s="4"/>
      <c r="B68" s="44" t="s">
        <v>21</v>
      </c>
      <c r="C68" s="45">
        <v>1995</v>
      </c>
      <c r="D68" s="46">
        <f>908054/2433.48</f>
        <v>373.15038545621906</v>
      </c>
      <c r="E68" s="46">
        <f>533580.84/2353.18</f>
        <v>226.74884199253776</v>
      </c>
      <c r="F68" s="46">
        <f t="shared" si="3"/>
        <v>146.40154346368129</v>
      </c>
      <c r="G68" s="47">
        <f t="shared" si="2"/>
        <v>0.39233925293870098</v>
      </c>
    </row>
    <row r="69" spans="1:7" x14ac:dyDescent="0.25">
      <c r="A69" s="4"/>
      <c r="B69" s="44" t="s">
        <v>15</v>
      </c>
      <c r="C69" s="45">
        <v>1995</v>
      </c>
      <c r="D69" s="46">
        <f>924438/2458.45</f>
        <v>376.02473102971385</v>
      </c>
      <c r="E69" s="46">
        <f>533580.84/2353.18</f>
        <v>226.74884199253776</v>
      </c>
      <c r="F69" s="46">
        <f t="shared" si="3"/>
        <v>149.27588903717609</v>
      </c>
      <c r="G69" s="47">
        <f t="shared" si="2"/>
        <v>0.39698423193707477</v>
      </c>
    </row>
    <row r="70" spans="1:7" x14ac:dyDescent="0.25">
      <c r="A70" s="4"/>
      <c r="B70" s="44" t="s">
        <v>12</v>
      </c>
      <c r="C70" s="45">
        <v>1995</v>
      </c>
      <c r="D70" s="46">
        <f>939524/2532.87</f>
        <v>370.93257845842862</v>
      </c>
      <c r="E70" s="46">
        <f>533580.84/2353.18</f>
        <v>226.74884199253776</v>
      </c>
      <c r="F70" s="46">
        <f t="shared" si="3"/>
        <v>144.18373646589086</v>
      </c>
      <c r="G70" s="47">
        <f t="shared" si="2"/>
        <v>0.38870604751167714</v>
      </c>
    </row>
    <row r="71" spans="1:7" x14ac:dyDescent="0.25">
      <c r="A71" s="4"/>
      <c r="B71" s="44" t="s">
        <v>7</v>
      </c>
      <c r="C71" s="45">
        <v>1995</v>
      </c>
      <c r="D71" s="46">
        <f>951695/2575.32</f>
        <v>369.54436730192748</v>
      </c>
      <c r="E71" s="46">
        <f>571952.5/2575.32</f>
        <v>222.08987620955841</v>
      </c>
      <c r="F71" s="46">
        <f t="shared" si="3"/>
        <v>147.45449109236907</v>
      </c>
      <c r="G71" s="47">
        <f t="shared" si="2"/>
        <v>0.39901701700649889</v>
      </c>
    </row>
    <row r="72" spans="1:7" x14ac:dyDescent="0.25">
      <c r="A72" s="4"/>
      <c r="B72" s="44" t="s">
        <v>11</v>
      </c>
      <c r="C72" s="45">
        <v>1995</v>
      </c>
      <c r="D72" s="46">
        <f>964457/2594.51</f>
        <v>371.72992202766608</v>
      </c>
      <c r="E72" s="46">
        <f>571952.5/2575.32</f>
        <v>222.08987620955841</v>
      </c>
      <c r="F72" s="46">
        <f t="shared" si="3"/>
        <v>149.64004581810767</v>
      </c>
      <c r="G72" s="47">
        <f t="shared" si="2"/>
        <v>0.40255044576952476</v>
      </c>
    </row>
    <row r="73" spans="1:7" x14ac:dyDescent="0.25">
      <c r="A73" s="4"/>
      <c r="B73" s="44" t="s">
        <v>14</v>
      </c>
      <c r="C73" s="45">
        <v>1995</v>
      </c>
      <c r="D73" s="46">
        <f>995604/2632.68</f>
        <v>378.17129313095404</v>
      </c>
      <c r="E73" s="46">
        <f>578392.5/2594.51</f>
        <v>222.92937780158871</v>
      </c>
      <c r="F73" s="46">
        <f t="shared" si="3"/>
        <v>155.24191532936533</v>
      </c>
      <c r="G73" s="47">
        <f t="shared" si="2"/>
        <v>0.41050687386683204</v>
      </c>
    </row>
    <row r="74" spans="1:7" x14ac:dyDescent="0.25">
      <c r="A74" s="4"/>
      <c r="B74" s="44" t="s">
        <v>16</v>
      </c>
      <c r="C74" s="45">
        <v>1995</v>
      </c>
      <c r="D74" s="46">
        <f>1019271/2679.52</f>
        <v>380.39313011285606</v>
      </c>
      <c r="E74" s="46">
        <f>578392.5/2594.51</f>
        <v>222.92937780158871</v>
      </c>
      <c r="F74" s="46">
        <f t="shared" si="3"/>
        <v>157.46375231126734</v>
      </c>
      <c r="G74" s="47">
        <f t="shared" si="2"/>
        <v>0.4139500423273958</v>
      </c>
    </row>
    <row r="75" spans="1:7" x14ac:dyDescent="0.25">
      <c r="A75" s="4"/>
      <c r="B75" s="44" t="s">
        <v>6</v>
      </c>
      <c r="C75" s="45">
        <v>1995</v>
      </c>
      <c r="D75" s="46">
        <f>1036873/2805.95</f>
        <v>369.52654181293326</v>
      </c>
      <c r="E75" s="46">
        <f>578392.5/2594.51</f>
        <v>222.92937780158871</v>
      </c>
      <c r="F75" s="46">
        <f t="shared" si="3"/>
        <v>146.59716401134455</v>
      </c>
      <c r="G75" s="47">
        <f t="shared" si="2"/>
        <v>0.39671619606030073</v>
      </c>
    </row>
    <row r="76" spans="1:7" x14ac:dyDescent="0.25">
      <c r="A76" s="4"/>
      <c r="B76" s="44" t="s">
        <v>17</v>
      </c>
      <c r="C76" s="45">
        <v>1995</v>
      </c>
      <c r="D76" s="46">
        <f>1053989/2917.82</f>
        <v>361.22481852890172</v>
      </c>
      <c r="E76" s="46">
        <f>578392.5/2594.51</f>
        <v>222.92937780158871</v>
      </c>
      <c r="F76" s="46">
        <f t="shared" si="3"/>
        <v>138.29544072731301</v>
      </c>
      <c r="G76" s="47">
        <f t="shared" si="2"/>
        <v>0.3828514366496884</v>
      </c>
    </row>
    <row r="77" spans="1:7" x14ac:dyDescent="0.25">
      <c r="A77" s="4"/>
      <c r="B77" s="44" t="s">
        <v>18</v>
      </c>
      <c r="C77" s="45">
        <v>1996</v>
      </c>
      <c r="D77" s="46">
        <f>1083559/2923.55</f>
        <v>370.63125309982723</v>
      </c>
      <c r="E77" s="46">
        <f t="shared" ref="E77:E82" si="4">730539/2923.55</f>
        <v>249.88079560807921</v>
      </c>
      <c r="F77" s="46">
        <f t="shared" si="3"/>
        <v>120.75045749174802</v>
      </c>
      <c r="G77" s="47">
        <f t="shared" si="2"/>
        <v>0.32579674941558323</v>
      </c>
    </row>
    <row r="78" spans="1:7" x14ac:dyDescent="0.25">
      <c r="A78" s="4"/>
      <c r="B78" s="44" t="s">
        <v>19</v>
      </c>
      <c r="C78" s="45">
        <v>1996</v>
      </c>
      <c r="D78" s="46">
        <f>1113233/2951.21</f>
        <v>377.21239762673616</v>
      </c>
      <c r="E78" s="46">
        <f t="shared" si="4"/>
        <v>249.88079560807921</v>
      </c>
      <c r="F78" s="46">
        <f t="shared" si="3"/>
        <v>127.33160201865695</v>
      </c>
      <c r="G78" s="47">
        <f t="shared" si="2"/>
        <v>0.33755943023022184</v>
      </c>
    </row>
    <row r="79" spans="1:7" x14ac:dyDescent="0.25">
      <c r="A79" s="4"/>
      <c r="B79" s="44" t="s">
        <v>20</v>
      </c>
      <c r="C79" s="45">
        <v>1996</v>
      </c>
      <c r="D79" s="46">
        <f>1143099/3023.72</f>
        <v>378.04393263926556</v>
      </c>
      <c r="E79" s="46">
        <f t="shared" si="4"/>
        <v>249.88079560807921</v>
      </c>
      <c r="F79" s="46">
        <f t="shared" si="3"/>
        <v>128.16313703118635</v>
      </c>
      <c r="G79" s="47">
        <f t="shared" si="2"/>
        <v>0.33901651624569595</v>
      </c>
    </row>
    <row r="80" spans="1:7" x14ac:dyDescent="0.25">
      <c r="A80" s="4"/>
      <c r="B80" s="44" t="s">
        <v>21</v>
      </c>
      <c r="C80" s="45">
        <v>1996</v>
      </c>
      <c r="D80" s="46">
        <f>1165373/3072.53</f>
        <v>379.28775308947348</v>
      </c>
      <c r="E80" s="46">
        <f t="shared" si="4"/>
        <v>249.88079560807921</v>
      </c>
      <c r="F80" s="46">
        <f t="shared" si="3"/>
        <v>129.40695748139427</v>
      </c>
      <c r="G80" s="47">
        <f t="shared" si="2"/>
        <v>0.34118411793503739</v>
      </c>
    </row>
    <row r="81" spans="1:7" x14ac:dyDescent="0.25">
      <c r="A81" s="4"/>
      <c r="B81" s="44" t="s">
        <v>15</v>
      </c>
      <c r="C81" s="45">
        <v>1996</v>
      </c>
      <c r="D81" s="46">
        <f>1175295/3117.55</f>
        <v>376.99315167358981</v>
      </c>
      <c r="E81" s="46">
        <f t="shared" si="4"/>
        <v>249.88079560807921</v>
      </c>
      <c r="F81" s="46">
        <f t="shared" si="3"/>
        <v>127.1123560655106</v>
      </c>
      <c r="G81" s="47">
        <f t="shared" si="2"/>
        <v>0.33717417810169581</v>
      </c>
    </row>
    <row r="82" spans="1:7" x14ac:dyDescent="0.25">
      <c r="A82" s="4"/>
      <c r="B82" s="44" t="s">
        <v>12</v>
      </c>
      <c r="C82" s="45">
        <v>1996</v>
      </c>
      <c r="D82" s="46">
        <f>1201035/3138.82</f>
        <v>382.63901721028918</v>
      </c>
      <c r="E82" s="46">
        <f t="shared" si="4"/>
        <v>249.88079560807921</v>
      </c>
      <c r="F82" s="46">
        <f t="shared" si="3"/>
        <v>132.75822160220997</v>
      </c>
      <c r="G82" s="47">
        <f t="shared" si="2"/>
        <v>0.34695421959347456</v>
      </c>
    </row>
    <row r="83" spans="1:7" x14ac:dyDescent="0.25">
      <c r="A83" s="4"/>
      <c r="B83" s="44" t="s">
        <v>7</v>
      </c>
      <c r="C83" s="45">
        <v>1996</v>
      </c>
      <c r="D83" s="46">
        <f>1225233/3178.02</f>
        <v>385.53344535276682</v>
      </c>
      <c r="E83" s="46">
        <f t="shared" ref="E83:E88" si="5">827138/3178.02</f>
        <v>260.26834318223297</v>
      </c>
      <c r="F83" s="46">
        <f t="shared" si="3"/>
        <v>125.26510217053385</v>
      </c>
      <c r="G83" s="47">
        <f t="shared" si="2"/>
        <v>0.32491371029020599</v>
      </c>
    </row>
    <row r="84" spans="1:7" x14ac:dyDescent="0.25">
      <c r="A84" s="31" t="s">
        <v>24</v>
      </c>
      <c r="B84" s="48" t="s">
        <v>11</v>
      </c>
      <c r="C84" s="41">
        <v>1996</v>
      </c>
      <c r="D84" s="42">
        <f>1249701/3272.21</f>
        <v>381.91344687535337</v>
      </c>
      <c r="E84" s="42">
        <f t="shared" si="5"/>
        <v>260.26834318223297</v>
      </c>
      <c r="F84" s="42">
        <f t="shared" si="3"/>
        <v>121.6451036931204</v>
      </c>
      <c r="G84" s="43">
        <f t="shared" si="2"/>
        <v>0.31851484855630707</v>
      </c>
    </row>
    <row r="85" spans="1:7" x14ac:dyDescent="0.25">
      <c r="A85" s="31"/>
      <c r="B85" s="48" t="s">
        <v>14</v>
      </c>
      <c r="C85" s="41">
        <v>1996</v>
      </c>
      <c r="D85" s="42">
        <f>1279034/3296.72</f>
        <v>387.97168094348325</v>
      </c>
      <c r="E85" s="42">
        <f t="shared" si="5"/>
        <v>260.26834318223297</v>
      </c>
      <c r="F85" s="42">
        <f t="shared" si="3"/>
        <v>127.70333776125028</v>
      </c>
      <c r="G85" s="43">
        <f t="shared" si="2"/>
        <v>0.32915633803657213</v>
      </c>
    </row>
    <row r="86" spans="1:7" x14ac:dyDescent="0.25">
      <c r="A86" s="31"/>
      <c r="B86" s="48" t="s">
        <v>16</v>
      </c>
      <c r="C86" s="41">
        <v>1996</v>
      </c>
      <c r="D86" s="42">
        <f>1311802/3323.8</f>
        <v>394.66935435345084</v>
      </c>
      <c r="E86" s="42">
        <f t="shared" si="5"/>
        <v>260.26834318223297</v>
      </c>
      <c r="F86" s="42">
        <f t="shared" si="3"/>
        <v>134.40101117121787</v>
      </c>
      <c r="G86" s="43">
        <f t="shared" si="2"/>
        <v>0.34054078354118533</v>
      </c>
    </row>
    <row r="87" spans="1:7" x14ac:dyDescent="0.25">
      <c r="A87" s="31"/>
      <c r="B87" s="48" t="s">
        <v>6</v>
      </c>
      <c r="C87" s="41">
        <v>1996</v>
      </c>
      <c r="D87" s="42">
        <f>1329621/3405.56</f>
        <v>390.42653777939603</v>
      </c>
      <c r="E87" s="42">
        <f t="shared" si="5"/>
        <v>260.26834318223297</v>
      </c>
      <c r="F87" s="42">
        <f t="shared" si="3"/>
        <v>130.15819459716306</v>
      </c>
      <c r="G87" s="43">
        <f t="shared" si="2"/>
        <v>0.33337435343779515</v>
      </c>
    </row>
    <row r="88" spans="1:7" x14ac:dyDescent="0.25">
      <c r="A88" s="31"/>
      <c r="B88" s="48" t="s">
        <v>17</v>
      </c>
      <c r="C88" s="41">
        <v>1996</v>
      </c>
      <c r="D88" s="42">
        <f>1351061/3592.21</f>
        <v>376.10857939819778</v>
      </c>
      <c r="E88" s="42">
        <f t="shared" si="5"/>
        <v>260.26834318223297</v>
      </c>
      <c r="F88" s="42">
        <f t="shared" si="3"/>
        <v>115.84023621596481</v>
      </c>
      <c r="G88" s="43">
        <f t="shared" si="2"/>
        <v>0.30799679284455028</v>
      </c>
    </row>
    <row r="89" spans="1:7" x14ac:dyDescent="0.25">
      <c r="A89" s="31"/>
      <c r="B89" s="48" t="s">
        <v>18</v>
      </c>
      <c r="C89" s="41">
        <v>1997</v>
      </c>
      <c r="D89" s="42">
        <f>1422699/3672.81</f>
        <v>387.35981442002173</v>
      </c>
      <c r="E89" s="42">
        <f t="shared" ref="E89:E94" si="6">935008/3672.81</f>
        <v>254.57565188506894</v>
      </c>
      <c r="F89" s="42">
        <f t="shared" si="3"/>
        <v>132.7841625349528</v>
      </c>
      <c r="G89" s="43">
        <f t="shared" si="2"/>
        <v>0.3427928184387562</v>
      </c>
    </row>
    <row r="90" spans="1:7" x14ac:dyDescent="0.25">
      <c r="A90" s="31"/>
      <c r="B90" s="48" t="s">
        <v>19</v>
      </c>
      <c r="C90" s="41">
        <v>1997</v>
      </c>
      <c r="D90" s="42">
        <f>1470664/3739.57</f>
        <v>393.27088408560343</v>
      </c>
      <c r="E90" s="42">
        <f t="shared" si="6"/>
        <v>254.57565188506894</v>
      </c>
      <c r="F90" s="42">
        <f t="shared" si="3"/>
        <v>138.69523220053449</v>
      </c>
      <c r="G90" s="43">
        <f t="shared" si="2"/>
        <v>0.35267099043707656</v>
      </c>
    </row>
    <row r="91" spans="1:7" x14ac:dyDescent="0.25">
      <c r="A91" s="5" t="s">
        <v>25</v>
      </c>
      <c r="B91" s="49" t="s">
        <v>20</v>
      </c>
      <c r="C91" s="50">
        <v>1997</v>
      </c>
      <c r="D91" s="51">
        <f>1494343/3784.11</f>
        <v>394.8994611678836</v>
      </c>
      <c r="E91" s="51">
        <f t="shared" si="6"/>
        <v>254.57565188506894</v>
      </c>
      <c r="F91" s="51">
        <f t="shared" si="3"/>
        <v>140.32380928281466</v>
      </c>
      <c r="G91" s="52">
        <f t="shared" si="2"/>
        <v>0.35534059445869642</v>
      </c>
    </row>
    <row r="92" spans="1:7" x14ac:dyDescent="0.25">
      <c r="A92" s="5"/>
      <c r="B92" s="49" t="s">
        <v>21</v>
      </c>
      <c r="C92" s="50">
        <v>1997</v>
      </c>
      <c r="D92" s="51">
        <f>1528371/3834.08</f>
        <v>398.62783249175811</v>
      </c>
      <c r="E92" s="51">
        <f t="shared" si="6"/>
        <v>254.57565188506894</v>
      </c>
      <c r="F92" s="51">
        <f t="shared" si="3"/>
        <v>144.05218060668918</v>
      </c>
      <c r="G92" s="52">
        <f t="shared" si="2"/>
        <v>0.36137010229878402</v>
      </c>
    </row>
    <row r="93" spans="1:7" x14ac:dyDescent="0.25">
      <c r="A93" s="5"/>
      <c r="B93" s="49" t="s">
        <v>15</v>
      </c>
      <c r="C93" s="50">
        <v>1997</v>
      </c>
      <c r="D93" s="51">
        <f>1542238/3898.22</f>
        <v>395.62620888508093</v>
      </c>
      <c r="E93" s="51">
        <f t="shared" si="6"/>
        <v>254.57565188506894</v>
      </c>
      <c r="F93" s="51">
        <f>+D93-E93</f>
        <v>141.05055700001199</v>
      </c>
      <c r="G93" s="52">
        <f t="shared" si="2"/>
        <v>0.35652480506159662</v>
      </c>
    </row>
    <row r="94" spans="1:7" x14ac:dyDescent="0.25">
      <c r="A94" s="5"/>
      <c r="B94" s="49" t="s">
        <v>12</v>
      </c>
      <c r="C94" s="50">
        <v>1997</v>
      </c>
      <c r="D94" s="51">
        <f>1565405/3954.85</f>
        <v>395.81905761280456</v>
      </c>
      <c r="E94" s="51">
        <f t="shared" si="6"/>
        <v>254.57565188506894</v>
      </c>
      <c r="F94" s="51">
        <f t="shared" ref="F94:F107" si="7">+D94-E94</f>
        <v>141.24340572773562</v>
      </c>
      <c r="G94" s="52">
        <f t="shared" si="2"/>
        <v>0.35683831541507482</v>
      </c>
    </row>
    <row r="95" spans="1:7" x14ac:dyDescent="0.25">
      <c r="A95" s="5"/>
      <c r="B95" s="49" t="s">
        <v>7</v>
      </c>
      <c r="C95" s="50">
        <v>1997</v>
      </c>
      <c r="D95" s="51">
        <f>1603613/4018.64</f>
        <v>399.04370632850919</v>
      </c>
      <c r="E95" s="51">
        <f t="shared" ref="E95:E100" si="8">1026913/4018.64</f>
        <v>255.5374455039516</v>
      </c>
      <c r="F95" s="51">
        <f t="shared" si="7"/>
        <v>143.50626082455759</v>
      </c>
      <c r="G95" s="52">
        <f t="shared" si="2"/>
        <v>0.35962542084655091</v>
      </c>
    </row>
    <row r="96" spans="1:7" x14ac:dyDescent="0.25">
      <c r="A96" s="5"/>
      <c r="B96" s="49" t="s">
        <v>11</v>
      </c>
      <c r="C96" s="50">
        <v>1997</v>
      </c>
      <c r="D96" s="51">
        <f>1630201/4080.24</f>
        <v>399.53556653530188</v>
      </c>
      <c r="E96" s="51">
        <f t="shared" si="8"/>
        <v>255.5374455039516</v>
      </c>
      <c r="F96" s="51">
        <f t="shared" si="7"/>
        <v>143.99812103135028</v>
      </c>
      <c r="G96" s="52">
        <f t="shared" si="2"/>
        <v>0.36041377312181544</v>
      </c>
    </row>
    <row r="97" spans="1:7" x14ac:dyDescent="0.25">
      <c r="A97" s="5"/>
      <c r="B97" s="49" t="s">
        <v>14</v>
      </c>
      <c r="C97" s="50">
        <v>1997</v>
      </c>
      <c r="D97" s="51">
        <f>1661520/4130.39</f>
        <v>402.26709826432852</v>
      </c>
      <c r="E97" s="51">
        <f t="shared" si="8"/>
        <v>255.5374455039516</v>
      </c>
      <c r="F97" s="51">
        <f t="shared" si="7"/>
        <v>146.72965276037692</v>
      </c>
      <c r="G97" s="52">
        <f t="shared" si="2"/>
        <v>0.36475678322556049</v>
      </c>
    </row>
    <row r="98" spans="1:7" x14ac:dyDescent="0.25">
      <c r="A98" s="5"/>
      <c r="B98" s="49" t="s">
        <v>16</v>
      </c>
      <c r="C98" s="50">
        <v>1997</v>
      </c>
      <c r="D98" s="51">
        <f>1701392/4194.89</f>
        <v>405.5867972700118</v>
      </c>
      <c r="E98" s="51">
        <f t="shared" si="8"/>
        <v>255.5374455039516</v>
      </c>
      <c r="F98" s="51">
        <f t="shared" si="7"/>
        <v>150.0493517660602</v>
      </c>
      <c r="G98" s="52">
        <f t="shared" si="2"/>
        <v>0.36995620364379772</v>
      </c>
    </row>
    <row r="99" spans="1:7" x14ac:dyDescent="0.25">
      <c r="A99" s="5"/>
      <c r="B99" s="49" t="s">
        <v>6</v>
      </c>
      <c r="C99" s="50">
        <v>1997</v>
      </c>
      <c r="D99" s="51">
        <f>1730599/4277.9</f>
        <v>404.54405198812503</v>
      </c>
      <c r="E99" s="51">
        <f t="shared" si="8"/>
        <v>255.5374455039516</v>
      </c>
      <c r="F99" s="51">
        <f t="shared" si="7"/>
        <v>149.00660648417343</v>
      </c>
      <c r="G99" s="52">
        <f t="shared" si="2"/>
        <v>0.36833221438279201</v>
      </c>
    </row>
    <row r="100" spans="1:7" x14ac:dyDescent="0.25">
      <c r="A100" s="5"/>
      <c r="B100" s="49" t="s">
        <v>17</v>
      </c>
      <c r="C100" s="50">
        <v>1997</v>
      </c>
      <c r="D100" s="51">
        <f>1756143/4393.58</f>
        <v>399.70661738263556</v>
      </c>
      <c r="E100" s="51">
        <f t="shared" si="8"/>
        <v>255.5374455039516</v>
      </c>
      <c r="F100" s="51">
        <f t="shared" si="7"/>
        <v>144.16917187868395</v>
      </c>
      <c r="G100" s="52">
        <f t="shared" si="2"/>
        <v>0.36068747828778652</v>
      </c>
    </row>
    <row r="101" spans="1:7" x14ac:dyDescent="0.25">
      <c r="A101" s="5"/>
      <c r="B101" s="49" t="s">
        <v>18</v>
      </c>
      <c r="C101" s="50">
        <v>1998</v>
      </c>
      <c r="D101" s="51">
        <f>1807926/4498.55</f>
        <v>401.89083149014681</v>
      </c>
      <c r="E101" s="51">
        <f>1122977/4498.55</f>
        <v>249.63088106167541</v>
      </c>
      <c r="F101" s="51">
        <f t="shared" si="7"/>
        <v>152.2599504284714</v>
      </c>
      <c r="G101" s="52">
        <f t="shared" si="2"/>
        <v>0.37885897984762651</v>
      </c>
    </row>
    <row r="102" spans="1:7" x14ac:dyDescent="0.25">
      <c r="A102" s="5"/>
      <c r="B102" s="49" t="s">
        <v>19</v>
      </c>
      <c r="C102" s="50">
        <v>1998</v>
      </c>
      <c r="D102" s="51">
        <f>1843036/4537.65</f>
        <v>406.16530583011036</v>
      </c>
      <c r="E102" s="51">
        <f>1122977/4498.55</f>
        <v>249.63088106167541</v>
      </c>
      <c r="F102" s="51">
        <f t="shared" si="7"/>
        <v>156.53442476843495</v>
      </c>
      <c r="G102" s="52">
        <f t="shared" si="2"/>
        <v>0.38539585366237489</v>
      </c>
    </row>
    <row r="103" spans="1:7" x14ac:dyDescent="0.25">
      <c r="A103" s="5"/>
      <c r="B103" s="49" t="s">
        <v>20</v>
      </c>
      <c r="C103" s="50">
        <v>1998</v>
      </c>
      <c r="D103" s="51">
        <f>1886602/4658.39</f>
        <v>404.99013607705666</v>
      </c>
      <c r="E103" s="51">
        <f>1122977/4498.55</f>
        <v>249.63088106167541</v>
      </c>
      <c r="F103" s="51">
        <f t="shared" si="7"/>
        <v>155.35925501538125</v>
      </c>
      <c r="G103" s="52">
        <f t="shared" si="2"/>
        <v>0.38361244182456178</v>
      </c>
    </row>
    <row r="104" spans="1:7" x14ac:dyDescent="0.25">
      <c r="A104" s="5"/>
      <c r="B104" s="49" t="s">
        <v>21</v>
      </c>
      <c r="C104" s="50">
        <v>1998</v>
      </c>
      <c r="D104" s="51">
        <f>1969965/4960</f>
        <v>397.17036290322579</v>
      </c>
      <c r="E104" s="51">
        <f>1122977/4498.55</f>
        <v>249.63088106167541</v>
      </c>
      <c r="F104" s="51">
        <f t="shared" si="7"/>
        <v>147.53948184155038</v>
      </c>
      <c r="G104" s="52">
        <f t="shared" si="2"/>
        <v>0.37147656427098447</v>
      </c>
    </row>
    <row r="105" spans="1:7" x14ac:dyDescent="0.25">
      <c r="A105" s="5"/>
      <c r="B105" s="49" t="s">
        <v>15</v>
      </c>
      <c r="C105" s="50">
        <v>1998</v>
      </c>
      <c r="D105" s="51">
        <f>2004412/5150.82</f>
        <v>389.14425275975481</v>
      </c>
      <c r="E105" s="51">
        <f>1135857/5150.82</f>
        <v>220.5196454156814</v>
      </c>
      <c r="F105" s="51">
        <f t="shared" si="7"/>
        <v>168.62460734407341</v>
      </c>
      <c r="G105" s="52">
        <f t="shared" si="2"/>
        <v>0.4333215925667977</v>
      </c>
    </row>
    <row r="106" spans="1:7" x14ac:dyDescent="0.25">
      <c r="A106" s="5"/>
      <c r="B106" s="49" t="s">
        <v>12</v>
      </c>
      <c r="C106" s="50">
        <v>1998</v>
      </c>
      <c r="D106" s="51">
        <f>2071303/5235.62</f>
        <v>395.61751998808165</v>
      </c>
      <c r="E106" s="51">
        <f>1135857/5150.82</f>
        <v>220.5196454156814</v>
      </c>
      <c r="F106" s="51">
        <f t="shared" si="7"/>
        <v>175.09787457240026</v>
      </c>
      <c r="G106" s="52">
        <f t="shared" si="2"/>
        <v>0.44259383299727284</v>
      </c>
    </row>
    <row r="107" spans="1:7" x14ac:dyDescent="0.25">
      <c r="A107" s="5"/>
      <c r="B107" s="49" t="s">
        <v>7</v>
      </c>
      <c r="C107" s="50">
        <v>1998</v>
      </c>
      <c r="D107" s="51">
        <f>2103799/5301.8</f>
        <v>396.8084424157833</v>
      </c>
      <c r="E107" s="51">
        <f>1259827/5301.8</f>
        <v>237.62250556414801</v>
      </c>
      <c r="F107" s="51">
        <f t="shared" si="7"/>
        <v>159.18593685163529</v>
      </c>
      <c r="G107" s="52">
        <f t="shared" si="2"/>
        <v>0.40116570071570529</v>
      </c>
    </row>
    <row r="108" spans="1:7" x14ac:dyDescent="0.25">
      <c r="A108" s="31" t="s">
        <v>26</v>
      </c>
      <c r="B108" s="48" t="s">
        <v>11</v>
      </c>
      <c r="C108" s="41">
        <v>1998</v>
      </c>
      <c r="D108" s="42">
        <f>2140723/5432.23</f>
        <v>394.0781226126287</v>
      </c>
      <c r="E108" s="42">
        <f>1259827/5301.8</f>
        <v>237.62250556414801</v>
      </c>
      <c r="F108" s="42">
        <f t="shared" ref="F108:F129" si="9">D108-E108</f>
        <v>156.45561704848069</v>
      </c>
      <c r="G108" s="43">
        <f t="shared" si="2"/>
        <v>0.39701675396549119</v>
      </c>
    </row>
    <row r="109" spans="1:7" x14ac:dyDescent="0.25">
      <c r="A109" s="31"/>
      <c r="B109" s="48" t="s">
        <v>14</v>
      </c>
      <c r="C109" s="41">
        <v>1998</v>
      </c>
      <c r="D109" s="42">
        <f>2223761/5886.84</f>
        <v>377.75122136834023</v>
      </c>
      <c r="E109" s="42">
        <f>1259827/5301.8</f>
        <v>237.62250556414801</v>
      </c>
      <c r="F109" s="42">
        <f t="shared" si="9"/>
        <v>140.12871580419221</v>
      </c>
      <c r="G109" s="43">
        <f t="shared" si="2"/>
        <v>0.37095503039434136</v>
      </c>
    </row>
    <row r="110" spans="1:7" x14ac:dyDescent="0.25">
      <c r="A110" s="31"/>
      <c r="B110" s="48" t="s">
        <v>16</v>
      </c>
      <c r="C110" s="41">
        <v>1998</v>
      </c>
      <c r="D110" s="42">
        <f>2347114/6619.88</f>
        <v>354.5553695837387</v>
      </c>
      <c r="E110" s="42">
        <f>1433707/6619.88</f>
        <v>216.57598022924887</v>
      </c>
      <c r="F110" s="42">
        <f t="shared" si="9"/>
        <v>137.97938935448983</v>
      </c>
      <c r="G110" s="43">
        <f t="shared" ref="G110:G127" si="10">+F110/D110</f>
        <v>0.38916175354073135</v>
      </c>
    </row>
    <row r="111" spans="1:7" x14ac:dyDescent="0.25">
      <c r="A111" s="31"/>
      <c r="B111" s="48" t="s">
        <v>6</v>
      </c>
      <c r="C111" s="41">
        <v>1998</v>
      </c>
      <c r="D111" s="42">
        <f>2404727/6449.1</f>
        <v>372.87792095021007</v>
      </c>
      <c r="E111" s="42">
        <f>1433707/6619.88</f>
        <v>216.57598022924887</v>
      </c>
      <c r="F111" s="42">
        <f t="shared" si="9"/>
        <v>156.3019407209612</v>
      </c>
      <c r="G111" s="43">
        <f t="shared" si="10"/>
        <v>0.41917724793856059</v>
      </c>
    </row>
    <row r="112" spans="1:7" x14ac:dyDescent="0.25">
      <c r="A112" s="31"/>
      <c r="B112" s="48" t="s">
        <v>17</v>
      </c>
      <c r="C112" s="41">
        <v>1998</v>
      </c>
      <c r="D112" s="42">
        <f>2435098/6582.73</f>
        <v>369.92220552870924</v>
      </c>
      <c r="E112" s="42">
        <f>1433707/6619.88</f>
        <v>216.57598022924887</v>
      </c>
      <c r="F112" s="42">
        <f t="shared" si="9"/>
        <v>153.34622529946037</v>
      </c>
      <c r="G112" s="43">
        <f t="shared" si="10"/>
        <v>0.41453641605615738</v>
      </c>
    </row>
    <row r="113" spans="1:7" x14ac:dyDescent="0.25">
      <c r="A113" s="31"/>
      <c r="B113" s="48" t="s">
        <v>18</v>
      </c>
      <c r="C113" s="41">
        <v>1999</v>
      </c>
      <c r="D113" s="42">
        <f>2512250/7124.28</f>
        <v>352.63212563234464</v>
      </c>
      <c r="E113" s="42">
        <f>1553603/7124.28</f>
        <v>218.07158056673799</v>
      </c>
      <c r="F113" s="42">
        <f t="shared" si="9"/>
        <v>134.56054506560665</v>
      </c>
      <c r="G113" s="43">
        <f t="shared" si="10"/>
        <v>0.3815890138322221</v>
      </c>
    </row>
    <row r="114" spans="1:7" x14ac:dyDescent="0.25">
      <c r="A114" s="31"/>
      <c r="B114" s="48" t="s">
        <v>19</v>
      </c>
      <c r="C114" s="41">
        <v>1999</v>
      </c>
      <c r="D114" s="42">
        <f>2603742/7762.34</f>
        <v>335.4326143920519</v>
      </c>
      <c r="E114" s="42">
        <f>1553603/7124.28</f>
        <v>218.07158056673799</v>
      </c>
      <c r="F114" s="42">
        <f t="shared" si="9"/>
        <v>117.36103382531391</v>
      </c>
      <c r="G114" s="43">
        <f t="shared" si="10"/>
        <v>0.34987961453307859</v>
      </c>
    </row>
    <row r="115" spans="1:7" x14ac:dyDescent="0.25">
      <c r="A115" s="31"/>
      <c r="B115" s="48" t="s">
        <v>20</v>
      </c>
      <c r="C115" s="41">
        <v>1999</v>
      </c>
      <c r="D115" s="42">
        <f>2875117/10530.26</f>
        <v>273.03380923168089</v>
      </c>
      <c r="E115" s="42">
        <f>1553603/7124.28</f>
        <v>218.07158056673799</v>
      </c>
      <c r="F115" s="42">
        <f t="shared" si="9"/>
        <v>54.962228664942899</v>
      </c>
      <c r="G115" s="43">
        <f t="shared" si="10"/>
        <v>0.20130191502512823</v>
      </c>
    </row>
    <row r="116" spans="1:7" x14ac:dyDescent="0.25">
      <c r="A116" s="31"/>
      <c r="B116" s="48" t="s">
        <v>21</v>
      </c>
      <c r="C116" s="41">
        <v>1999</v>
      </c>
      <c r="D116" s="42">
        <f>3122004/9425.05</f>
        <v>331.24535148354653</v>
      </c>
      <c r="E116" s="42">
        <f>1566483/9425.05</f>
        <v>166.20421111824342</v>
      </c>
      <c r="F116" s="42">
        <f t="shared" si="9"/>
        <v>165.04114036530311</v>
      </c>
      <c r="G116" s="43">
        <f t="shared" si="10"/>
        <v>0.49824439686816541</v>
      </c>
    </row>
    <row r="117" spans="1:7" x14ac:dyDescent="0.25">
      <c r="A117" s="31"/>
      <c r="B117" s="48" t="s">
        <v>15</v>
      </c>
      <c r="C117" s="41">
        <v>1999</v>
      </c>
      <c r="D117" s="42">
        <f>3168974/9000.54</f>
        <v>352.08709699640241</v>
      </c>
      <c r="E117" s="42">
        <f>1566483/9425.05</f>
        <v>166.20421111824342</v>
      </c>
      <c r="F117" s="42">
        <f t="shared" si="9"/>
        <v>185.88288587815899</v>
      </c>
      <c r="G117" s="43">
        <f t="shared" si="10"/>
        <v>0.52794574826483442</v>
      </c>
    </row>
    <row r="118" spans="1:7" x14ac:dyDescent="0.25">
      <c r="A118" s="31"/>
      <c r="B118" s="48" t="s">
        <v>12</v>
      </c>
      <c r="C118" s="41">
        <v>1999</v>
      </c>
      <c r="D118" s="42">
        <f>3204801/10842.18</f>
        <v>295.58640421022341</v>
      </c>
      <c r="E118" s="42">
        <f>1592243/10842.18</f>
        <v>146.85635176689559</v>
      </c>
      <c r="F118" s="42">
        <f t="shared" si="9"/>
        <v>148.73005244332782</v>
      </c>
      <c r="G118" s="43">
        <f t="shared" si="10"/>
        <v>0.50316946356419634</v>
      </c>
    </row>
    <row r="119" spans="1:7" x14ac:dyDescent="0.25">
      <c r="A119" s="31"/>
      <c r="B119" s="48" t="s">
        <v>7</v>
      </c>
      <c r="C119" s="41">
        <v>1999</v>
      </c>
      <c r="D119" s="42">
        <f>3279856/11716.1</f>
        <v>279.9443500823653</v>
      </c>
      <c r="E119" s="42">
        <f t="shared" ref="E119:E124" si="11">1785759/11716.1</f>
        <v>152.41923506969042</v>
      </c>
      <c r="F119" s="42">
        <f t="shared" si="9"/>
        <v>127.52511501267489</v>
      </c>
      <c r="G119" s="53">
        <f t="shared" si="10"/>
        <v>0.45553737725070864</v>
      </c>
    </row>
    <row r="120" spans="1:7" x14ac:dyDescent="0.25">
      <c r="A120" s="31"/>
      <c r="B120" s="48" t="s">
        <v>11</v>
      </c>
      <c r="C120" s="41">
        <v>1999</v>
      </c>
      <c r="D120" s="42">
        <f>3307825/11189.03</f>
        <v>295.63107793973205</v>
      </c>
      <c r="E120" s="42">
        <f t="shared" si="11"/>
        <v>152.41923506969042</v>
      </c>
      <c r="F120" s="42">
        <f t="shared" si="9"/>
        <v>143.21184287004164</v>
      </c>
      <c r="G120" s="53">
        <f t="shared" si="10"/>
        <v>0.48442756380043744</v>
      </c>
    </row>
    <row r="121" spans="1:7" x14ac:dyDescent="0.25">
      <c r="A121" s="31"/>
      <c r="B121" s="48" t="s">
        <v>14</v>
      </c>
      <c r="C121" s="41">
        <v>1999</v>
      </c>
      <c r="D121" s="42">
        <f>3360077/12076.94</f>
        <v>278.22254643974384</v>
      </c>
      <c r="E121" s="42">
        <f t="shared" si="11"/>
        <v>152.41923506969042</v>
      </c>
      <c r="F121" s="42">
        <f t="shared" si="9"/>
        <v>125.80331137005342</v>
      </c>
      <c r="G121" s="53">
        <f t="shared" si="10"/>
        <v>0.45216792449025811</v>
      </c>
    </row>
    <row r="122" spans="1:7" x14ac:dyDescent="0.25">
      <c r="A122" s="31"/>
      <c r="B122" s="48" t="s">
        <v>16</v>
      </c>
      <c r="C122" s="41">
        <v>1999</v>
      </c>
      <c r="D122" s="42">
        <f>3479926/15530.75</f>
        <v>224.06683514962253</v>
      </c>
      <c r="E122" s="42">
        <f t="shared" si="11"/>
        <v>152.41923506969042</v>
      </c>
      <c r="F122" s="42">
        <f t="shared" si="9"/>
        <v>71.647600079932118</v>
      </c>
      <c r="G122" s="53">
        <f t="shared" si="10"/>
        <v>0.31975995033842836</v>
      </c>
    </row>
    <row r="123" spans="1:7" x14ac:dyDescent="0.25">
      <c r="A123" s="31"/>
      <c r="B123" s="48" t="s">
        <v>6</v>
      </c>
      <c r="C123" s="41">
        <v>1999</v>
      </c>
      <c r="D123" s="42">
        <f>3722291/17411.22</f>
        <v>213.78691441495769</v>
      </c>
      <c r="E123" s="42">
        <f t="shared" si="11"/>
        <v>152.41923506969042</v>
      </c>
      <c r="F123" s="42">
        <f t="shared" si="9"/>
        <v>61.367679345267277</v>
      </c>
      <c r="G123" s="53">
        <f t="shared" si="10"/>
        <v>0.28705068087634861</v>
      </c>
    </row>
    <row r="124" spans="1:7" x14ac:dyDescent="0.25">
      <c r="A124" s="31"/>
      <c r="B124" s="48" t="s">
        <v>17</v>
      </c>
      <c r="C124" s="41">
        <v>1999</v>
      </c>
      <c r="D124" s="42">
        <f>3990099/18140.56</f>
        <v>219.95456590094241</v>
      </c>
      <c r="E124" s="42">
        <f t="shared" si="11"/>
        <v>152.41923506969042</v>
      </c>
      <c r="F124" s="42">
        <f t="shared" si="9"/>
        <v>67.535330831251997</v>
      </c>
      <c r="G124" s="53">
        <f t="shared" si="10"/>
        <v>0.30704218643802489</v>
      </c>
    </row>
    <row r="125" spans="1:7" x14ac:dyDescent="0.25">
      <c r="A125" s="5" t="s">
        <v>27</v>
      </c>
      <c r="B125" s="54" t="s">
        <v>9</v>
      </c>
      <c r="C125" s="50">
        <v>2000</v>
      </c>
      <c r="D125" s="51">
        <f>4468727/24999.87</f>
        <v>178.7500095000494</v>
      </c>
      <c r="E125" s="51">
        <f>1973593/24578.1</f>
        <v>80.298843279179437</v>
      </c>
      <c r="F125" s="51">
        <f t="shared" si="9"/>
        <v>98.451166220869965</v>
      </c>
      <c r="G125" s="55">
        <f t="shared" si="10"/>
        <v>0.55077572580964118</v>
      </c>
    </row>
    <row r="126" spans="1:7" x14ac:dyDescent="0.25">
      <c r="A126" s="5"/>
      <c r="B126" s="54" t="s">
        <v>22</v>
      </c>
      <c r="C126" s="50">
        <v>2000</v>
      </c>
      <c r="D126" s="51">
        <f>4915933/25000</f>
        <v>196.63731999999999</v>
      </c>
      <c r="E126" s="51">
        <f>1973593/24578.1</f>
        <v>80.298843279179437</v>
      </c>
      <c r="F126" s="51">
        <f t="shared" si="9"/>
        <v>116.33847672082055</v>
      </c>
      <c r="G126" s="55">
        <f t="shared" si="10"/>
        <v>0.59163986124719636</v>
      </c>
    </row>
    <row r="127" spans="1:7" x14ac:dyDescent="0.25">
      <c r="A127" s="5"/>
      <c r="B127" s="54" t="s">
        <v>10</v>
      </c>
      <c r="C127" s="50">
        <v>2000</v>
      </c>
      <c r="D127" s="51">
        <f>5420781/25000</f>
        <v>216.83124000000001</v>
      </c>
      <c r="E127" s="51">
        <f>1973593/24578.1</f>
        <v>80.298843279179437</v>
      </c>
      <c r="F127" s="51">
        <f t="shared" si="9"/>
        <v>136.53239672082057</v>
      </c>
      <c r="G127" s="55">
        <f t="shared" si="10"/>
        <v>0.62967124442409939</v>
      </c>
    </row>
    <row r="128" spans="1:7" x14ac:dyDescent="0.25">
      <c r="A128" s="5"/>
      <c r="B128" s="54" t="s">
        <v>21</v>
      </c>
      <c r="C128" s="50">
        <v>2000</v>
      </c>
      <c r="D128" s="51">
        <f>6130488/25000</f>
        <v>245.21951999999999</v>
      </c>
      <c r="E128" s="51">
        <f>2842993/25000</f>
        <v>113.71972</v>
      </c>
      <c r="F128" s="51">
        <f t="shared" si="9"/>
        <v>131.49979999999999</v>
      </c>
      <c r="G128" s="55">
        <v>0.53600000000000003</v>
      </c>
    </row>
    <row r="129" spans="1:9" x14ac:dyDescent="0.25">
      <c r="A129" s="5"/>
      <c r="B129" s="54" t="s">
        <v>28</v>
      </c>
      <c r="C129" s="50">
        <v>2000</v>
      </c>
      <c r="D129" s="51">
        <f>6518454/25000</f>
        <v>260.73815999999999</v>
      </c>
      <c r="E129" s="51">
        <f>2907393/25000</f>
        <v>116.29572</v>
      </c>
      <c r="F129" s="51">
        <f t="shared" si="9"/>
        <v>144.44243999999998</v>
      </c>
      <c r="G129" s="55">
        <v>0.55400000000000005</v>
      </c>
    </row>
    <row r="130" spans="1:9" x14ac:dyDescent="0.25">
      <c r="A130" s="6"/>
      <c r="B130" s="54" t="s">
        <v>29</v>
      </c>
      <c r="C130" s="50">
        <v>2000</v>
      </c>
      <c r="D130" s="56">
        <v>274.76</v>
      </c>
      <c r="E130" s="56">
        <v>164.6</v>
      </c>
      <c r="F130" s="51">
        <v>110.2</v>
      </c>
      <c r="G130" s="55">
        <v>0.40100000000000002</v>
      </c>
      <c r="I130" s="7"/>
    </row>
    <row r="131" spans="1:9" x14ac:dyDescent="0.25">
      <c r="A131" s="6"/>
      <c r="B131" s="54" t="s">
        <v>30</v>
      </c>
      <c r="C131" s="50">
        <v>2000</v>
      </c>
      <c r="D131" s="56">
        <v>226.39</v>
      </c>
      <c r="E131" s="56">
        <v>163.57</v>
      </c>
      <c r="F131" s="56">
        <v>62.82</v>
      </c>
      <c r="G131" s="55">
        <v>0.27700000000000002</v>
      </c>
      <c r="I131" s="7"/>
    </row>
    <row r="132" spans="1:9" x14ac:dyDescent="0.25">
      <c r="A132" s="6"/>
      <c r="B132" s="54" t="s">
        <v>31</v>
      </c>
      <c r="C132" s="50">
        <v>2000</v>
      </c>
      <c r="D132" s="56">
        <v>229.46</v>
      </c>
      <c r="E132" s="56">
        <v>163.57</v>
      </c>
      <c r="F132" s="56">
        <v>65.900000000000006</v>
      </c>
      <c r="G132" s="55">
        <v>0.28699999999999998</v>
      </c>
      <c r="I132" s="7"/>
    </row>
    <row r="133" spans="1:9" x14ac:dyDescent="0.25">
      <c r="A133" s="6"/>
      <c r="B133" s="54" t="s">
        <v>32</v>
      </c>
      <c r="C133" s="50">
        <v>2000</v>
      </c>
      <c r="D133" s="56">
        <v>234.63</v>
      </c>
      <c r="E133" s="56">
        <v>163.57337600000002</v>
      </c>
      <c r="F133" s="56">
        <v>74.68323716067701</v>
      </c>
      <c r="G133" s="55">
        <v>0.313</v>
      </c>
      <c r="I133" s="7"/>
    </row>
    <row r="134" spans="1:9" x14ac:dyDescent="0.25">
      <c r="A134" s="6"/>
      <c r="B134" s="54" t="s">
        <v>33</v>
      </c>
      <c r="C134" s="50">
        <v>2000</v>
      </c>
      <c r="D134" s="56">
        <v>244.17</v>
      </c>
      <c r="E134" s="56">
        <v>163.57</v>
      </c>
      <c r="F134" s="56">
        <v>80.59</v>
      </c>
      <c r="G134" s="55">
        <v>0.33</v>
      </c>
      <c r="I134" s="7"/>
    </row>
    <row r="135" spans="1:9" x14ac:dyDescent="0.25">
      <c r="A135" s="6"/>
      <c r="B135" s="54" t="s">
        <v>34</v>
      </c>
      <c r="C135" s="50">
        <v>2000</v>
      </c>
      <c r="D135" s="56">
        <v>248.1</v>
      </c>
      <c r="E135" s="56">
        <v>163.57</v>
      </c>
      <c r="F135" s="56">
        <v>84.53</v>
      </c>
      <c r="G135" s="55">
        <v>0.34100000000000003</v>
      </c>
      <c r="I135" s="7"/>
    </row>
    <row r="136" spans="1:9" x14ac:dyDescent="0.25">
      <c r="A136" s="6"/>
      <c r="B136" s="54" t="s">
        <v>35</v>
      </c>
      <c r="C136" s="50">
        <v>2000</v>
      </c>
      <c r="D136" s="54">
        <v>252.93</v>
      </c>
      <c r="E136" s="54">
        <v>163.57</v>
      </c>
      <c r="F136" s="54">
        <v>89.36</v>
      </c>
      <c r="G136" s="55">
        <v>0.35299999999999998</v>
      </c>
      <c r="I136" s="7"/>
    </row>
    <row r="137" spans="1:9" x14ac:dyDescent="0.25">
      <c r="A137" s="6"/>
      <c r="B137" s="54" t="s">
        <v>18</v>
      </c>
      <c r="C137" s="50">
        <v>2001</v>
      </c>
      <c r="D137" s="54">
        <v>269.77</v>
      </c>
      <c r="E137" s="54">
        <v>200.73</v>
      </c>
      <c r="F137" s="54">
        <v>69.040000000000006</v>
      </c>
      <c r="G137" s="55">
        <v>0.25600000000000001</v>
      </c>
      <c r="I137" s="7"/>
    </row>
    <row r="138" spans="1:9" x14ac:dyDescent="0.25">
      <c r="A138" s="6"/>
      <c r="B138" s="54" t="s">
        <v>19</v>
      </c>
      <c r="C138" s="50">
        <v>2001</v>
      </c>
      <c r="D138" s="54">
        <v>278.02</v>
      </c>
      <c r="E138" s="54">
        <v>200.73</v>
      </c>
      <c r="F138" s="54">
        <v>77.290000000000006</v>
      </c>
      <c r="G138" s="55">
        <v>0.27800000000000002</v>
      </c>
      <c r="I138" s="7"/>
    </row>
    <row r="139" spans="1:9" x14ac:dyDescent="0.25">
      <c r="A139" s="6"/>
      <c r="B139" s="54" t="s">
        <v>20</v>
      </c>
      <c r="C139" s="50">
        <v>2001</v>
      </c>
      <c r="D139" s="56">
        <v>284.25</v>
      </c>
      <c r="E139" s="56">
        <v>200.73</v>
      </c>
      <c r="F139" s="56">
        <f t="shared" ref="F139:F182" si="12">+D139-E139</f>
        <v>83.52000000000001</v>
      </c>
      <c r="G139" s="55">
        <f t="shared" ref="G139:G182" si="13">+F139/D139</f>
        <v>0.29382585751978896</v>
      </c>
      <c r="I139" s="7"/>
    </row>
    <row r="140" spans="1:9" x14ac:dyDescent="0.25">
      <c r="A140" s="6"/>
      <c r="B140" s="54" t="s">
        <v>21</v>
      </c>
      <c r="C140" s="50">
        <v>2001</v>
      </c>
      <c r="D140" s="56">
        <v>288.45</v>
      </c>
      <c r="E140" s="56">
        <v>200.73</v>
      </c>
      <c r="F140" s="56">
        <f t="shared" si="12"/>
        <v>87.72</v>
      </c>
      <c r="G140" s="55">
        <f t="shared" si="13"/>
        <v>0.30410816432657306</v>
      </c>
      <c r="I140" s="7"/>
    </row>
    <row r="141" spans="1:9" x14ac:dyDescent="0.25">
      <c r="A141" s="6"/>
      <c r="B141" s="54" t="s">
        <v>15</v>
      </c>
      <c r="C141" s="50">
        <v>2001</v>
      </c>
      <c r="D141" s="56">
        <v>287.77</v>
      </c>
      <c r="E141" s="56">
        <v>200.73</v>
      </c>
      <c r="F141" s="56">
        <f t="shared" si="12"/>
        <v>87.039999999999992</v>
      </c>
      <c r="G141" s="55">
        <f t="shared" si="13"/>
        <v>0.3024637731521701</v>
      </c>
      <c r="I141" s="7"/>
    </row>
    <row r="142" spans="1:9" x14ac:dyDescent="0.25">
      <c r="A142" s="6"/>
      <c r="B142" s="54" t="s">
        <v>12</v>
      </c>
      <c r="C142" s="50">
        <v>2001</v>
      </c>
      <c r="D142" s="56">
        <v>288.79000000000002</v>
      </c>
      <c r="E142" s="56">
        <v>200.73</v>
      </c>
      <c r="F142" s="56">
        <f t="shared" si="12"/>
        <v>88.060000000000031</v>
      </c>
      <c r="G142" s="55">
        <f t="shared" si="13"/>
        <v>0.30492745593684001</v>
      </c>
      <c r="I142" s="7"/>
    </row>
    <row r="143" spans="1:9" x14ac:dyDescent="0.25">
      <c r="A143" s="6"/>
      <c r="B143" s="54" t="s">
        <v>7</v>
      </c>
      <c r="C143" s="50">
        <v>2001</v>
      </c>
      <c r="D143" s="56">
        <v>290.66000000000003</v>
      </c>
      <c r="E143" s="56">
        <v>200.73</v>
      </c>
      <c r="F143" s="56">
        <f t="shared" si="12"/>
        <v>89.930000000000035</v>
      </c>
      <c r="G143" s="55">
        <f t="shared" si="13"/>
        <v>0.30939929814904021</v>
      </c>
      <c r="I143" s="7"/>
    </row>
    <row r="144" spans="1:9" x14ac:dyDescent="0.25">
      <c r="A144" s="6"/>
      <c r="B144" s="54" t="s">
        <v>11</v>
      </c>
      <c r="C144" s="50">
        <v>2001</v>
      </c>
      <c r="D144" s="56">
        <v>292.97000000000003</v>
      </c>
      <c r="E144" s="56">
        <v>200.73</v>
      </c>
      <c r="F144" s="56">
        <f t="shared" si="12"/>
        <v>92.240000000000038</v>
      </c>
      <c r="G144" s="55">
        <f t="shared" si="13"/>
        <v>0.31484452333003388</v>
      </c>
      <c r="I144" s="7"/>
    </row>
    <row r="145" spans="1:9" x14ac:dyDescent="0.25">
      <c r="A145" s="6"/>
      <c r="B145" s="54" t="s">
        <v>14</v>
      </c>
      <c r="C145" s="50">
        <v>2001</v>
      </c>
      <c r="D145" s="56">
        <v>299.42</v>
      </c>
      <c r="E145" s="56">
        <v>200.73</v>
      </c>
      <c r="F145" s="56">
        <f t="shared" si="12"/>
        <v>98.690000000000026</v>
      </c>
      <c r="G145" s="55">
        <f t="shared" si="13"/>
        <v>0.32960390087502511</v>
      </c>
      <c r="I145" s="7"/>
    </row>
    <row r="146" spans="1:9" x14ac:dyDescent="0.25">
      <c r="A146" s="6"/>
      <c r="B146" s="54" t="s">
        <v>16</v>
      </c>
      <c r="C146" s="50">
        <v>2001</v>
      </c>
      <c r="D146" s="56">
        <v>304.06</v>
      </c>
      <c r="E146" s="56">
        <v>200.73</v>
      </c>
      <c r="F146" s="56">
        <f t="shared" si="12"/>
        <v>103.33000000000001</v>
      </c>
      <c r="G146" s="55">
        <f t="shared" si="13"/>
        <v>0.33983424324146555</v>
      </c>
      <c r="I146" s="7"/>
    </row>
    <row r="147" spans="1:9" x14ac:dyDescent="0.25">
      <c r="A147" s="6"/>
      <c r="B147" s="54" t="s">
        <v>6</v>
      </c>
      <c r="C147" s="50">
        <v>2001</v>
      </c>
      <c r="D147" s="56">
        <v>310.20999999999998</v>
      </c>
      <c r="E147" s="56">
        <v>200.73</v>
      </c>
      <c r="F147" s="56">
        <f t="shared" si="12"/>
        <v>109.47999999999999</v>
      </c>
      <c r="G147" s="55">
        <f t="shared" si="13"/>
        <v>0.35292221398407531</v>
      </c>
      <c r="I147" s="7"/>
    </row>
    <row r="148" spans="1:9" x14ac:dyDescent="0.25">
      <c r="A148" s="6"/>
      <c r="B148" s="54" t="s">
        <v>17</v>
      </c>
      <c r="C148" s="50">
        <v>2001</v>
      </c>
      <c r="D148" s="56">
        <v>313.56</v>
      </c>
      <c r="E148" s="56">
        <v>200.73</v>
      </c>
      <c r="F148" s="56">
        <f t="shared" si="12"/>
        <v>112.83000000000001</v>
      </c>
      <c r="G148" s="55">
        <f t="shared" si="13"/>
        <v>0.35983543819364716</v>
      </c>
      <c r="I148" s="7"/>
    </row>
    <row r="149" spans="1:9" x14ac:dyDescent="0.25">
      <c r="A149" s="6"/>
      <c r="B149" s="54" t="s">
        <v>9</v>
      </c>
      <c r="C149" s="50">
        <v>2002</v>
      </c>
      <c r="D149" s="56">
        <v>319.14999999999998</v>
      </c>
      <c r="E149" s="56">
        <v>221.26</v>
      </c>
      <c r="F149" s="56">
        <f t="shared" si="12"/>
        <v>97.889999999999986</v>
      </c>
      <c r="G149" s="55">
        <f t="shared" si="13"/>
        <v>0.30672097759674133</v>
      </c>
      <c r="I149" s="7"/>
    </row>
    <row r="150" spans="1:9" x14ac:dyDescent="0.25">
      <c r="A150" s="6"/>
      <c r="B150" s="54" t="s">
        <v>22</v>
      </c>
      <c r="C150" s="50">
        <v>2002</v>
      </c>
      <c r="D150" s="56">
        <v>323.18</v>
      </c>
      <c r="E150" s="56">
        <v>221.26</v>
      </c>
      <c r="F150" s="56">
        <f t="shared" si="12"/>
        <v>101.92000000000002</v>
      </c>
      <c r="G150" s="55">
        <f t="shared" si="13"/>
        <v>0.31536604987932426</v>
      </c>
      <c r="I150" s="7"/>
    </row>
    <row r="151" spans="1:9" x14ac:dyDescent="0.25">
      <c r="A151" s="6"/>
      <c r="B151" s="54" t="s">
        <v>10</v>
      </c>
      <c r="C151" s="50">
        <v>2002</v>
      </c>
      <c r="D151" s="56">
        <v>327.33999999999997</v>
      </c>
      <c r="E151" s="56">
        <v>221.26</v>
      </c>
      <c r="F151" s="56">
        <f t="shared" si="12"/>
        <v>106.07999999999998</v>
      </c>
      <c r="G151" s="55">
        <f t="shared" si="13"/>
        <v>0.324066719618745</v>
      </c>
      <c r="I151" s="7"/>
    </row>
    <row r="152" spans="1:9" x14ac:dyDescent="0.25">
      <c r="A152" s="6"/>
      <c r="B152" s="54" t="s">
        <v>21</v>
      </c>
      <c r="C152" s="50">
        <v>2002</v>
      </c>
      <c r="D152" s="56">
        <v>330.31</v>
      </c>
      <c r="E152" s="56">
        <v>221.26</v>
      </c>
      <c r="F152" s="56">
        <f t="shared" si="12"/>
        <v>109.05000000000001</v>
      </c>
      <c r="G152" s="55">
        <f t="shared" si="13"/>
        <v>0.33014440979685755</v>
      </c>
      <c r="I152" s="7"/>
    </row>
    <row r="153" spans="1:9" x14ac:dyDescent="0.25">
      <c r="A153" s="6"/>
      <c r="B153" s="54" t="s">
        <v>15</v>
      </c>
      <c r="C153" s="50">
        <v>2002</v>
      </c>
      <c r="D153" s="56">
        <v>333.32</v>
      </c>
      <c r="E153" s="56">
        <v>221.26</v>
      </c>
      <c r="F153" s="56">
        <f t="shared" si="12"/>
        <v>112.06</v>
      </c>
      <c r="G153" s="55">
        <f t="shared" si="13"/>
        <v>0.33619344773790955</v>
      </c>
      <c r="I153" s="7"/>
    </row>
    <row r="154" spans="1:9" x14ac:dyDescent="0.25">
      <c r="A154" s="6"/>
      <c r="B154" s="54" t="s">
        <v>12</v>
      </c>
      <c r="C154" s="50">
        <v>2002</v>
      </c>
      <c r="D154" s="56">
        <v>334.05</v>
      </c>
      <c r="E154" s="56">
        <v>221.26</v>
      </c>
      <c r="F154" s="56">
        <f t="shared" si="12"/>
        <v>112.79000000000002</v>
      </c>
      <c r="G154" s="55">
        <f t="shared" si="13"/>
        <v>0.33764406525969171</v>
      </c>
      <c r="I154" s="7"/>
    </row>
    <row r="155" spans="1:9" x14ac:dyDescent="0.25">
      <c r="A155" s="6"/>
      <c r="B155" s="54" t="s">
        <v>7</v>
      </c>
      <c r="C155" s="50">
        <v>2002</v>
      </c>
      <c r="D155" s="56">
        <v>336.29</v>
      </c>
      <c r="E155" s="56">
        <v>221.26</v>
      </c>
      <c r="F155" s="56">
        <f t="shared" si="12"/>
        <v>115.03000000000003</v>
      </c>
      <c r="G155" s="55">
        <f t="shared" si="13"/>
        <v>0.34205596360284285</v>
      </c>
      <c r="I155" s="7"/>
    </row>
    <row r="156" spans="1:9" x14ac:dyDescent="0.25">
      <c r="A156" s="6"/>
      <c r="B156" s="54" t="s">
        <v>11</v>
      </c>
      <c r="C156" s="50">
        <v>2002</v>
      </c>
      <c r="D156" s="56">
        <v>339.91</v>
      </c>
      <c r="E156" s="56">
        <v>221.26</v>
      </c>
      <c r="F156" s="56">
        <f t="shared" si="12"/>
        <v>118.65000000000003</v>
      </c>
      <c r="G156" s="55">
        <f t="shared" si="13"/>
        <v>0.34906298726133395</v>
      </c>
      <c r="I156" s="7"/>
    </row>
    <row r="157" spans="1:9" x14ac:dyDescent="0.25">
      <c r="A157" s="6"/>
      <c r="B157" s="54" t="s">
        <v>14</v>
      </c>
      <c r="C157" s="50">
        <v>2002</v>
      </c>
      <c r="D157" s="56">
        <v>341.22</v>
      </c>
      <c r="E157" s="56">
        <v>221.26</v>
      </c>
      <c r="F157" s="56">
        <f t="shared" si="12"/>
        <v>119.96000000000004</v>
      </c>
      <c r="G157" s="55">
        <f t="shared" si="13"/>
        <v>0.35156204208428588</v>
      </c>
      <c r="I157" s="7"/>
    </row>
    <row r="158" spans="1:9" x14ac:dyDescent="0.25">
      <c r="A158" s="6"/>
      <c r="B158" s="54" t="s">
        <v>16</v>
      </c>
      <c r="C158" s="50">
        <v>2002</v>
      </c>
      <c r="D158" s="56">
        <v>346.14</v>
      </c>
      <c r="E158" s="56">
        <v>221.26</v>
      </c>
      <c r="F158" s="56">
        <f t="shared" si="12"/>
        <v>124.88</v>
      </c>
      <c r="G158" s="55">
        <f t="shared" si="13"/>
        <v>0.36077887559946842</v>
      </c>
      <c r="I158" s="7"/>
    </row>
    <row r="159" spans="1:9" x14ac:dyDescent="0.25">
      <c r="A159" s="6"/>
      <c r="B159" s="54" t="s">
        <v>6</v>
      </c>
      <c r="C159" s="50">
        <v>2002</v>
      </c>
      <c r="D159" s="56">
        <v>351.47</v>
      </c>
      <c r="E159" s="56">
        <v>221.26</v>
      </c>
      <c r="F159" s="56">
        <f t="shared" si="12"/>
        <v>130.21000000000004</v>
      </c>
      <c r="G159" s="55">
        <f t="shared" si="13"/>
        <v>0.37047258656499849</v>
      </c>
      <c r="I159" s="7"/>
    </row>
    <row r="160" spans="1:9" x14ac:dyDescent="0.25">
      <c r="A160" s="6"/>
      <c r="B160" s="54" t="s">
        <v>17</v>
      </c>
      <c r="C160" s="50">
        <v>2002</v>
      </c>
      <c r="D160" s="56">
        <v>353.24</v>
      </c>
      <c r="E160" s="56">
        <v>221.26</v>
      </c>
      <c r="F160" s="56">
        <f t="shared" si="12"/>
        <v>131.98000000000002</v>
      </c>
      <c r="G160" s="55">
        <f t="shared" si="13"/>
        <v>0.37362699581021408</v>
      </c>
      <c r="I160" s="7"/>
    </row>
    <row r="161" spans="1:9" x14ac:dyDescent="0.25">
      <c r="A161" s="31" t="s">
        <v>36</v>
      </c>
      <c r="B161" s="40" t="s">
        <v>9</v>
      </c>
      <c r="C161" s="41">
        <v>2003</v>
      </c>
      <c r="D161" s="57">
        <v>361.75</v>
      </c>
      <c r="E161" s="57">
        <v>253.17</v>
      </c>
      <c r="F161" s="42">
        <f t="shared" si="12"/>
        <v>108.58000000000001</v>
      </c>
      <c r="G161" s="53">
        <f t="shared" si="13"/>
        <v>0.30015203870076024</v>
      </c>
      <c r="I161" s="7"/>
    </row>
    <row r="162" spans="1:9" x14ac:dyDescent="0.25">
      <c r="A162" s="31"/>
      <c r="B162" s="40" t="s">
        <v>22</v>
      </c>
      <c r="C162" s="41">
        <v>2003</v>
      </c>
      <c r="D162" s="57">
        <v>362</v>
      </c>
      <c r="E162" s="57">
        <v>253.17</v>
      </c>
      <c r="F162" s="42">
        <f t="shared" si="12"/>
        <v>108.83000000000001</v>
      </c>
      <c r="G162" s="53">
        <f t="shared" si="13"/>
        <v>0.30063535911602213</v>
      </c>
      <c r="I162" s="7"/>
    </row>
    <row r="163" spans="1:9" x14ac:dyDescent="0.25">
      <c r="A163" s="31"/>
      <c r="B163" s="40" t="s">
        <v>10</v>
      </c>
      <c r="C163" s="41">
        <v>2003</v>
      </c>
      <c r="D163" s="57">
        <v>363.79</v>
      </c>
      <c r="E163" s="57">
        <v>253.17</v>
      </c>
      <c r="F163" s="42">
        <f t="shared" si="12"/>
        <v>110.62000000000003</v>
      </c>
      <c r="G163" s="53">
        <f t="shared" si="13"/>
        <v>0.30407652766706073</v>
      </c>
      <c r="I163" s="7"/>
    </row>
    <row r="164" spans="1:9" x14ac:dyDescent="0.25">
      <c r="A164" s="31"/>
      <c r="B164" s="40" t="s">
        <v>21</v>
      </c>
      <c r="C164" s="41">
        <v>2003</v>
      </c>
      <c r="D164" s="57">
        <v>366.59</v>
      </c>
      <c r="E164" s="57">
        <v>253.17</v>
      </c>
      <c r="F164" s="42">
        <f t="shared" si="12"/>
        <v>113.41999999999999</v>
      </c>
      <c r="G164" s="53">
        <f t="shared" si="13"/>
        <v>0.30939196377424372</v>
      </c>
      <c r="I164" s="7"/>
    </row>
    <row r="165" spans="1:9" x14ac:dyDescent="0.25">
      <c r="A165" s="31"/>
      <c r="B165" s="40" t="s">
        <v>15</v>
      </c>
      <c r="C165" s="41">
        <v>2003</v>
      </c>
      <c r="D165" s="57">
        <v>368.72</v>
      </c>
      <c r="E165" s="57">
        <v>253.17</v>
      </c>
      <c r="F165" s="42">
        <f t="shared" si="12"/>
        <v>115.55000000000004</v>
      </c>
      <c r="G165" s="53">
        <f t="shared" si="13"/>
        <v>0.3133814276415709</v>
      </c>
      <c r="I165" s="7"/>
    </row>
    <row r="166" spans="1:9" x14ac:dyDescent="0.25">
      <c r="A166" s="31"/>
      <c r="B166" s="40" t="s">
        <v>12</v>
      </c>
      <c r="C166" s="41">
        <v>2003</v>
      </c>
      <c r="D166" s="57">
        <v>369.95</v>
      </c>
      <c r="E166" s="57">
        <v>253.17</v>
      </c>
      <c r="F166" s="42">
        <f t="shared" si="12"/>
        <v>116.78</v>
      </c>
      <c r="G166" s="53">
        <f t="shared" si="13"/>
        <v>0.31566427895661575</v>
      </c>
      <c r="I166" s="7"/>
    </row>
    <row r="167" spans="1:9" x14ac:dyDescent="0.25">
      <c r="A167" s="31"/>
      <c r="B167" s="40" t="s">
        <v>7</v>
      </c>
      <c r="C167" s="41">
        <v>2003</v>
      </c>
      <c r="D167" s="57">
        <v>371.11</v>
      </c>
      <c r="E167" s="57">
        <v>253.17</v>
      </c>
      <c r="F167" s="42">
        <f t="shared" si="12"/>
        <v>117.94000000000003</v>
      </c>
      <c r="G167" s="53">
        <f t="shared" si="13"/>
        <v>0.31780334671660698</v>
      </c>
      <c r="I167" s="7"/>
    </row>
    <row r="168" spans="1:9" x14ac:dyDescent="0.25">
      <c r="A168" s="31"/>
      <c r="B168" s="40" t="s">
        <v>11</v>
      </c>
      <c r="C168" s="41">
        <v>2003</v>
      </c>
      <c r="D168" s="57">
        <v>373.8</v>
      </c>
      <c r="E168" s="57">
        <v>253.17</v>
      </c>
      <c r="F168" s="42">
        <f t="shared" si="12"/>
        <v>120.63000000000002</v>
      </c>
      <c r="G168" s="53">
        <f t="shared" si="13"/>
        <v>0.32271268057784919</v>
      </c>
      <c r="I168" s="7"/>
    </row>
    <row r="169" spans="1:9" x14ac:dyDescent="0.25">
      <c r="A169" s="31"/>
      <c r="B169" s="40" t="s">
        <v>14</v>
      </c>
      <c r="C169" s="41">
        <v>2003</v>
      </c>
      <c r="D169" s="57">
        <v>376.47</v>
      </c>
      <c r="E169" s="57">
        <v>253.17</v>
      </c>
      <c r="F169" s="42">
        <f t="shared" si="12"/>
        <v>123.30000000000004</v>
      </c>
      <c r="G169" s="53">
        <f t="shared" si="13"/>
        <v>0.32751613674396374</v>
      </c>
      <c r="I169" s="7"/>
    </row>
    <row r="170" spans="1:9" x14ac:dyDescent="0.25">
      <c r="A170" s="31"/>
      <c r="B170" s="40" t="s">
        <v>16</v>
      </c>
      <c r="C170" s="41">
        <v>2003</v>
      </c>
      <c r="D170" s="57">
        <v>378.02</v>
      </c>
      <c r="E170" s="57">
        <v>253.17</v>
      </c>
      <c r="F170" s="42">
        <f t="shared" si="12"/>
        <v>124.85</v>
      </c>
      <c r="G170" s="53">
        <f t="shared" si="13"/>
        <v>0.3302735305010317</v>
      </c>
      <c r="I170" s="7"/>
    </row>
    <row r="171" spans="1:9" x14ac:dyDescent="0.25">
      <c r="A171" s="31"/>
      <c r="B171" s="40" t="s">
        <v>6</v>
      </c>
      <c r="C171" s="41">
        <v>2003</v>
      </c>
      <c r="D171" s="57">
        <v>378.29</v>
      </c>
      <c r="E171" s="57">
        <v>253.17</v>
      </c>
      <c r="F171" s="42">
        <f t="shared" si="12"/>
        <v>125.12000000000003</v>
      </c>
      <c r="G171" s="53">
        <f t="shared" si="13"/>
        <v>0.33075153982394467</v>
      </c>
      <c r="I171" s="7"/>
    </row>
    <row r="172" spans="1:9" x14ac:dyDescent="0.25">
      <c r="A172" s="31"/>
      <c r="B172" s="40" t="s">
        <v>17</v>
      </c>
      <c r="C172" s="41">
        <v>2003</v>
      </c>
      <c r="D172" s="57">
        <v>378.34</v>
      </c>
      <c r="E172" s="57">
        <v>253.17</v>
      </c>
      <c r="F172" s="42">
        <f t="shared" si="12"/>
        <v>125.16999999999999</v>
      </c>
      <c r="G172" s="53">
        <f t="shared" si="13"/>
        <v>0.33083998519849872</v>
      </c>
      <c r="I172" s="7"/>
    </row>
    <row r="173" spans="1:9" x14ac:dyDescent="0.25">
      <c r="A173" s="31"/>
      <c r="B173" s="40" t="s">
        <v>37</v>
      </c>
      <c r="C173" s="41">
        <v>2004</v>
      </c>
      <c r="D173" s="57">
        <v>381.39</v>
      </c>
      <c r="E173" s="57">
        <v>265.95</v>
      </c>
      <c r="F173" s="42">
        <f t="shared" si="12"/>
        <v>115.44</v>
      </c>
      <c r="G173" s="53">
        <f t="shared" si="13"/>
        <v>0.30268229371509481</v>
      </c>
      <c r="I173" s="7"/>
    </row>
    <row r="174" spans="1:9" x14ac:dyDescent="0.25">
      <c r="A174" s="31"/>
      <c r="B174" s="40" t="s">
        <v>22</v>
      </c>
      <c r="C174" s="41">
        <v>2004</v>
      </c>
      <c r="D174" s="57">
        <v>384.03</v>
      </c>
      <c r="E174" s="57">
        <v>265.95</v>
      </c>
      <c r="F174" s="42">
        <f t="shared" si="12"/>
        <v>118.07999999999998</v>
      </c>
      <c r="G174" s="53">
        <f t="shared" si="13"/>
        <v>0.30747597843918439</v>
      </c>
      <c r="I174" s="7"/>
    </row>
    <row r="175" spans="1:9" x14ac:dyDescent="0.25">
      <c r="A175" s="31"/>
      <c r="B175" s="40" t="s">
        <v>10</v>
      </c>
      <c r="C175" s="41">
        <v>2004</v>
      </c>
      <c r="D175" s="57">
        <v>385.58</v>
      </c>
      <c r="E175" s="57">
        <v>265.95</v>
      </c>
      <c r="F175" s="42">
        <f t="shared" si="12"/>
        <v>119.63</v>
      </c>
      <c r="G175" s="53">
        <f t="shared" si="13"/>
        <v>0.31025986825042795</v>
      </c>
      <c r="I175" s="7"/>
    </row>
    <row r="176" spans="1:9" x14ac:dyDescent="0.25">
      <c r="A176" s="31"/>
      <c r="B176" s="40" t="s">
        <v>21</v>
      </c>
      <c r="C176" s="41">
        <v>2004</v>
      </c>
      <c r="D176" s="57">
        <v>387.59</v>
      </c>
      <c r="E176" s="57">
        <v>265.95</v>
      </c>
      <c r="F176" s="42">
        <f t="shared" si="12"/>
        <v>121.63999999999999</v>
      </c>
      <c r="G176" s="53">
        <f t="shared" si="13"/>
        <v>0.31383678629479606</v>
      </c>
      <c r="I176" s="7"/>
    </row>
    <row r="177" spans="1:9" x14ac:dyDescent="0.25">
      <c r="A177" s="31"/>
      <c r="B177" s="40" t="s">
        <v>15</v>
      </c>
      <c r="C177" s="41">
        <v>2004</v>
      </c>
      <c r="D177" s="57">
        <v>388.38</v>
      </c>
      <c r="E177" s="57">
        <v>265.95</v>
      </c>
      <c r="F177" s="42">
        <f t="shared" si="12"/>
        <v>122.43</v>
      </c>
      <c r="G177" s="53">
        <f t="shared" si="13"/>
        <v>0.31523250424841653</v>
      </c>
      <c r="I177" s="7"/>
    </row>
    <row r="178" spans="1:9" x14ac:dyDescent="0.25">
      <c r="A178" s="31"/>
      <c r="B178" s="40" t="s">
        <v>12</v>
      </c>
      <c r="C178" s="41">
        <v>2004</v>
      </c>
      <c r="D178" s="57">
        <v>387.76</v>
      </c>
      <c r="E178" s="57">
        <v>265.95</v>
      </c>
      <c r="F178" s="42">
        <f t="shared" si="12"/>
        <v>121.81</v>
      </c>
      <c r="G178" s="53">
        <f t="shared" si="13"/>
        <v>0.31413761089333608</v>
      </c>
      <c r="I178" s="7"/>
    </row>
    <row r="179" spans="1:9" x14ac:dyDescent="0.25">
      <c r="A179" s="31"/>
      <c r="B179" s="40" t="s">
        <v>7</v>
      </c>
      <c r="C179" s="41">
        <v>2004</v>
      </c>
      <c r="D179" s="57">
        <v>386.75</v>
      </c>
      <c r="E179" s="57">
        <v>265.95</v>
      </c>
      <c r="F179" s="42">
        <f t="shared" si="12"/>
        <v>120.80000000000001</v>
      </c>
      <c r="G179" s="53">
        <f t="shared" si="13"/>
        <v>0.31234647705235946</v>
      </c>
      <c r="I179" s="7"/>
    </row>
    <row r="180" spans="1:9" x14ac:dyDescent="0.25">
      <c r="A180" s="31"/>
      <c r="B180" s="40" t="s">
        <v>11</v>
      </c>
      <c r="C180" s="41">
        <v>2004</v>
      </c>
      <c r="D180" s="57">
        <v>388.57</v>
      </c>
      <c r="E180" s="57">
        <v>265.95</v>
      </c>
      <c r="F180" s="42">
        <f t="shared" si="12"/>
        <v>122.62</v>
      </c>
      <c r="G180" s="53">
        <f t="shared" si="13"/>
        <v>0.31556733664462006</v>
      </c>
      <c r="I180" s="7"/>
    </row>
    <row r="181" spans="1:9" x14ac:dyDescent="0.25">
      <c r="A181" s="31"/>
      <c r="B181" s="40" t="s">
        <v>14</v>
      </c>
      <c r="C181" s="41">
        <v>2004</v>
      </c>
      <c r="D181" s="57">
        <v>388.98</v>
      </c>
      <c r="E181" s="57">
        <v>265.95</v>
      </c>
      <c r="F181" s="42">
        <f t="shared" si="12"/>
        <v>123.03000000000003</v>
      </c>
      <c r="G181" s="53">
        <f t="shared" si="13"/>
        <v>0.31628875520592326</v>
      </c>
      <c r="I181" s="7"/>
    </row>
    <row r="182" spans="1:9" x14ac:dyDescent="0.25">
      <c r="A182" s="31"/>
      <c r="B182" s="40" t="s">
        <v>16</v>
      </c>
      <c r="C182" s="41">
        <v>2004</v>
      </c>
      <c r="D182" s="57">
        <v>390.21</v>
      </c>
      <c r="E182" s="57">
        <v>265.95</v>
      </c>
      <c r="F182" s="42">
        <f t="shared" si="12"/>
        <v>124.25999999999999</v>
      </c>
      <c r="G182" s="53">
        <f t="shared" si="13"/>
        <v>0.31844391481509954</v>
      </c>
      <c r="I182" s="7"/>
    </row>
    <row r="183" spans="1:9" x14ac:dyDescent="0.25">
      <c r="A183" s="31"/>
      <c r="B183" s="40" t="s">
        <v>6</v>
      </c>
      <c r="C183" s="41">
        <v>2004</v>
      </c>
      <c r="D183" s="57">
        <v>392.26</v>
      </c>
      <c r="E183" s="57">
        <v>265.95</v>
      </c>
      <c r="F183" s="42">
        <f>+D183-E183</f>
        <v>126.31</v>
      </c>
      <c r="G183" s="53">
        <f>+F183/D183</f>
        <v>0.32200581247132004</v>
      </c>
      <c r="I183" s="7"/>
    </row>
    <row r="184" spans="1:9" x14ac:dyDescent="0.25">
      <c r="A184" s="31"/>
      <c r="B184" s="40" t="s">
        <v>17</v>
      </c>
      <c r="C184" s="41">
        <v>2004</v>
      </c>
      <c r="D184" s="57">
        <v>394.45</v>
      </c>
      <c r="E184" s="57">
        <v>265.95</v>
      </c>
      <c r="F184" s="42">
        <f>+D184-E184</f>
        <v>128.5</v>
      </c>
      <c r="G184" s="53">
        <f>+F184/D184</f>
        <v>0.32577005957662569</v>
      </c>
      <c r="I184" s="7"/>
    </row>
    <row r="185" spans="1:9" x14ac:dyDescent="0.25">
      <c r="A185" s="31"/>
      <c r="B185" s="40" t="s">
        <v>9</v>
      </c>
      <c r="C185" s="41">
        <v>2005</v>
      </c>
      <c r="D185" s="57">
        <v>417.57</v>
      </c>
      <c r="E185" s="57">
        <v>265.95</v>
      </c>
      <c r="F185" s="42">
        <f>+D185-E185</f>
        <v>151.62</v>
      </c>
      <c r="G185" s="53">
        <f>+F185/D185</f>
        <v>0.3631007974710827</v>
      </c>
      <c r="I185" s="7"/>
    </row>
    <row r="186" spans="1:9" x14ac:dyDescent="0.25">
      <c r="A186" s="31"/>
      <c r="B186" s="40" t="s">
        <v>22</v>
      </c>
      <c r="C186" s="41">
        <v>2005</v>
      </c>
      <c r="D186" s="57">
        <v>419.51</v>
      </c>
      <c r="E186" s="57">
        <v>268.08999999999997</v>
      </c>
      <c r="F186" s="42">
        <f>+D186-E186</f>
        <v>151.42000000000002</v>
      </c>
      <c r="G186" s="53">
        <f>+F186/D186</f>
        <v>0.36094491192105077</v>
      </c>
      <c r="I186" s="7"/>
    </row>
    <row r="187" spans="1:9" x14ac:dyDescent="0.25">
      <c r="A187" s="31"/>
      <c r="B187" s="40" t="s">
        <v>10</v>
      </c>
      <c r="C187" s="41">
        <v>2005</v>
      </c>
      <c r="D187" s="57">
        <v>421.47166814653713</v>
      </c>
      <c r="E187" s="57">
        <v>280</v>
      </c>
      <c r="F187" s="42">
        <f t="shared" ref="F187:F235" si="14">+D187-E187</f>
        <v>141.47166814653713</v>
      </c>
      <c r="G187" s="53">
        <f t="shared" ref="G187:G235" si="15">+F187/D187</f>
        <v>0.33566115788677475</v>
      </c>
      <c r="I187" s="7"/>
    </row>
    <row r="188" spans="1:9" x14ac:dyDescent="0.25">
      <c r="A188" s="31"/>
      <c r="B188" s="40" t="s">
        <v>21</v>
      </c>
      <c r="C188" s="41">
        <v>2005</v>
      </c>
      <c r="D188" s="57">
        <v>425.12476948189908</v>
      </c>
      <c r="E188" s="57">
        <v>280</v>
      </c>
      <c r="F188" s="42">
        <f t="shared" si="14"/>
        <v>145.12476948189908</v>
      </c>
      <c r="G188" s="53">
        <f t="shared" si="15"/>
        <v>0.34136982810661232</v>
      </c>
      <c r="I188" s="7"/>
    </row>
    <row r="189" spans="1:9" x14ac:dyDescent="0.25">
      <c r="A189" s="8" t="s">
        <v>38</v>
      </c>
      <c r="B189" s="44" t="s">
        <v>15</v>
      </c>
      <c r="C189" s="45">
        <v>2005</v>
      </c>
      <c r="D189" s="58">
        <v>425.38490731321178</v>
      </c>
      <c r="E189" s="58">
        <v>280</v>
      </c>
      <c r="F189" s="46">
        <f t="shared" si="14"/>
        <v>145.38490731321178</v>
      </c>
      <c r="G189" s="59">
        <f t="shared" si="15"/>
        <v>0.34177260362028916</v>
      </c>
      <c r="I189" s="7"/>
    </row>
    <row r="190" spans="1:9" x14ac:dyDescent="0.25">
      <c r="A190" s="8"/>
      <c r="B190" s="44" t="s">
        <v>12</v>
      </c>
      <c r="C190" s="45">
        <v>2005</v>
      </c>
      <c r="D190" s="58">
        <v>425.09516392713158</v>
      </c>
      <c r="E190" s="58">
        <v>280</v>
      </c>
      <c r="F190" s="46">
        <f t="shared" si="14"/>
        <v>145.09516392713158</v>
      </c>
      <c r="G190" s="59">
        <f t="shared" si="15"/>
        <v>0.34132395811494887</v>
      </c>
      <c r="I190" s="7"/>
    </row>
    <row r="191" spans="1:9" x14ac:dyDescent="0.25">
      <c r="A191" s="8"/>
      <c r="B191" s="44" t="s">
        <v>7</v>
      </c>
      <c r="C191" s="45">
        <v>2005</v>
      </c>
      <c r="D191" s="58">
        <v>425.84828724317424</v>
      </c>
      <c r="E191" s="58">
        <v>280</v>
      </c>
      <c r="F191" s="46">
        <f t="shared" si="14"/>
        <v>145.84828724317424</v>
      </c>
      <c r="G191" s="59">
        <f t="shared" si="15"/>
        <v>0.3424888431214701</v>
      </c>
      <c r="I191" s="7"/>
    </row>
    <row r="192" spans="1:9" x14ac:dyDescent="0.25">
      <c r="A192" s="8"/>
      <c r="B192" s="44" t="s">
        <v>11</v>
      </c>
      <c r="C192" s="45">
        <v>2005</v>
      </c>
      <c r="D192" s="58">
        <v>425.09516392713158</v>
      </c>
      <c r="E192" s="58">
        <v>280</v>
      </c>
      <c r="F192" s="46">
        <f t="shared" si="14"/>
        <v>145.09516392713158</v>
      </c>
      <c r="G192" s="59">
        <f t="shared" si="15"/>
        <v>0.34132395811494887</v>
      </c>
      <c r="I192" s="7"/>
    </row>
    <row r="193" spans="1:9" x14ac:dyDescent="0.25">
      <c r="A193" s="8"/>
      <c r="B193" s="44" t="s">
        <v>14</v>
      </c>
      <c r="C193" s="45">
        <v>2005</v>
      </c>
      <c r="D193" s="58">
        <v>426.74</v>
      </c>
      <c r="E193" s="58">
        <v>280</v>
      </c>
      <c r="F193" s="46">
        <f t="shared" si="14"/>
        <v>146.74</v>
      </c>
      <c r="G193" s="59">
        <f t="shared" si="15"/>
        <v>0.34386277358578998</v>
      </c>
      <c r="I193" s="7"/>
    </row>
    <row r="194" spans="1:9" x14ac:dyDescent="0.25">
      <c r="A194" s="8"/>
      <c r="B194" s="44" t="s">
        <v>16</v>
      </c>
      <c r="C194" s="45">
        <v>2005</v>
      </c>
      <c r="D194" s="58">
        <v>432.11</v>
      </c>
      <c r="E194" s="58">
        <v>280</v>
      </c>
      <c r="F194" s="46">
        <f t="shared" si="14"/>
        <v>152.11000000000001</v>
      </c>
      <c r="G194" s="59">
        <f t="shared" si="15"/>
        <v>0.35201684756196339</v>
      </c>
      <c r="I194" s="7"/>
    </row>
    <row r="195" spans="1:9" x14ac:dyDescent="0.25">
      <c r="A195" s="8"/>
      <c r="B195" s="44" t="s">
        <v>6</v>
      </c>
      <c r="C195" s="45">
        <v>2005</v>
      </c>
      <c r="D195" s="58">
        <v>435.77</v>
      </c>
      <c r="E195" s="58">
        <v>280</v>
      </c>
      <c r="F195" s="46">
        <f t="shared" si="14"/>
        <v>155.76999999999998</v>
      </c>
      <c r="G195" s="59">
        <f t="shared" si="15"/>
        <v>0.35745921013378612</v>
      </c>
      <c r="I195" s="7"/>
    </row>
    <row r="196" spans="1:9" x14ac:dyDescent="0.25">
      <c r="A196" s="8"/>
      <c r="B196" s="44" t="s">
        <v>17</v>
      </c>
      <c r="C196" s="45">
        <v>2005</v>
      </c>
      <c r="D196" s="58">
        <v>437.41</v>
      </c>
      <c r="E196" s="58">
        <v>280</v>
      </c>
      <c r="F196" s="46">
        <f t="shared" si="14"/>
        <v>157.41000000000003</v>
      </c>
      <c r="G196" s="59">
        <f t="shared" si="15"/>
        <v>0.35986831576781514</v>
      </c>
      <c r="I196" s="7"/>
    </row>
    <row r="197" spans="1:9" x14ac:dyDescent="0.25">
      <c r="A197" s="8"/>
      <c r="B197" s="44" t="s">
        <v>9</v>
      </c>
      <c r="C197" s="45">
        <v>2006</v>
      </c>
      <c r="D197" s="58">
        <v>440.81</v>
      </c>
      <c r="E197" s="58">
        <v>298.67</v>
      </c>
      <c r="F197" s="46">
        <f t="shared" si="14"/>
        <v>142.13999999999999</v>
      </c>
      <c r="G197" s="59">
        <f t="shared" si="15"/>
        <v>0.32245185000340282</v>
      </c>
      <c r="I197" s="7"/>
    </row>
    <row r="198" spans="1:9" x14ac:dyDescent="0.25">
      <c r="A198" s="8"/>
      <c r="B198" s="44" t="s">
        <v>22</v>
      </c>
      <c r="C198" s="45">
        <v>2006</v>
      </c>
      <c r="D198" s="58">
        <v>442.17</v>
      </c>
      <c r="E198" s="58">
        <v>298.67</v>
      </c>
      <c r="F198" s="46">
        <f t="shared" si="14"/>
        <v>143.5</v>
      </c>
      <c r="G198" s="59">
        <f t="shared" si="15"/>
        <v>0.32453581201800213</v>
      </c>
      <c r="I198" s="7"/>
    </row>
    <row r="199" spans="1:9" x14ac:dyDescent="0.25">
      <c r="A199" s="8"/>
      <c r="B199" s="44" t="s">
        <v>10</v>
      </c>
      <c r="C199" s="45">
        <v>2006</v>
      </c>
      <c r="D199" s="58">
        <v>446.74</v>
      </c>
      <c r="E199" s="58">
        <v>298.67</v>
      </c>
      <c r="F199" s="46">
        <f t="shared" si="14"/>
        <v>148.07</v>
      </c>
      <c r="G199" s="60">
        <f t="shared" si="15"/>
        <v>0.33144558356090786</v>
      </c>
      <c r="I199" s="7"/>
    </row>
    <row r="200" spans="1:9" x14ac:dyDescent="0.25">
      <c r="A200" s="8"/>
      <c r="B200" s="44" t="s">
        <v>21</v>
      </c>
      <c r="C200" s="45">
        <v>2006</v>
      </c>
      <c r="D200" s="58">
        <v>446.57</v>
      </c>
      <c r="E200" s="58">
        <v>298.67</v>
      </c>
      <c r="F200" s="46">
        <f t="shared" si="14"/>
        <v>147.89999999999998</v>
      </c>
      <c r="G200" s="60">
        <f t="shared" si="15"/>
        <v>0.3311910786662785</v>
      </c>
      <c r="I200" s="7"/>
    </row>
    <row r="201" spans="1:9" x14ac:dyDescent="0.25">
      <c r="A201" s="8"/>
      <c r="B201" s="44" t="s">
        <v>15</v>
      </c>
      <c r="C201" s="45">
        <v>2006</v>
      </c>
      <c r="D201" s="58">
        <v>446.8</v>
      </c>
      <c r="E201" s="58">
        <v>298.67</v>
      </c>
      <c r="F201" s="46">
        <f t="shared" si="14"/>
        <v>148.13</v>
      </c>
      <c r="G201" s="59">
        <f t="shared" si="15"/>
        <v>0.33153536257833482</v>
      </c>
      <c r="I201" s="7"/>
    </row>
    <row r="202" spans="1:9" x14ac:dyDescent="0.25">
      <c r="A202" s="8"/>
      <c r="B202" s="44" t="s">
        <v>12</v>
      </c>
      <c r="C202" s="45">
        <v>2006</v>
      </c>
      <c r="D202" s="58">
        <v>444.95</v>
      </c>
      <c r="E202" s="58">
        <v>298.67</v>
      </c>
      <c r="F202" s="46">
        <f t="shared" si="14"/>
        <v>146.27999999999997</v>
      </c>
      <c r="G202" s="59">
        <f t="shared" si="15"/>
        <v>0.32875604000449482</v>
      </c>
      <c r="I202" s="7"/>
    </row>
    <row r="203" spans="1:9" x14ac:dyDescent="0.25">
      <c r="A203" s="8"/>
      <c r="B203" s="44" t="s">
        <v>7</v>
      </c>
      <c r="C203" s="45">
        <v>2006</v>
      </c>
      <c r="D203" s="58">
        <v>445.44</v>
      </c>
      <c r="E203" s="58">
        <v>298.67</v>
      </c>
      <c r="F203" s="46">
        <f t="shared" si="14"/>
        <v>146.76999999999998</v>
      </c>
      <c r="G203" s="59">
        <f t="shared" si="15"/>
        <v>0.32949443247126431</v>
      </c>
      <c r="I203" s="7"/>
    </row>
    <row r="204" spans="1:9" x14ac:dyDescent="0.25">
      <c r="A204" s="8"/>
      <c r="B204" s="44" t="s">
        <v>11</v>
      </c>
      <c r="C204" s="45">
        <v>2006</v>
      </c>
      <c r="D204" s="58">
        <v>447.49</v>
      </c>
      <c r="E204" s="58">
        <v>298.67</v>
      </c>
      <c r="F204" s="46">
        <f t="shared" si="14"/>
        <v>148.82</v>
      </c>
      <c r="G204" s="60">
        <f t="shared" si="15"/>
        <v>0.3325660908623656</v>
      </c>
      <c r="I204" s="7"/>
    </row>
    <row r="205" spans="1:9" x14ac:dyDescent="0.25">
      <c r="A205" s="8"/>
      <c r="B205" s="44" t="s">
        <v>14</v>
      </c>
      <c r="C205" s="45">
        <v>2006</v>
      </c>
      <c r="D205" s="58">
        <v>450.83</v>
      </c>
      <c r="E205" s="58">
        <v>298.67</v>
      </c>
      <c r="F205" s="46">
        <f t="shared" si="14"/>
        <v>152.15999999999997</v>
      </c>
      <c r="G205" s="59">
        <f t="shared" si="15"/>
        <v>0.3375108133886387</v>
      </c>
      <c r="I205" s="7"/>
    </row>
    <row r="206" spans="1:9" x14ac:dyDescent="0.25">
      <c r="A206" s="8"/>
      <c r="B206" s="44" t="s">
        <v>16</v>
      </c>
      <c r="C206" s="45">
        <v>2006</v>
      </c>
      <c r="D206" s="58">
        <v>453.2</v>
      </c>
      <c r="E206" s="58">
        <v>298.67</v>
      </c>
      <c r="F206" s="46">
        <f t="shared" si="14"/>
        <v>154.52999999999997</v>
      </c>
      <c r="G206" s="59">
        <f t="shared" si="15"/>
        <v>0.34097528684907319</v>
      </c>
      <c r="I206" s="7"/>
    </row>
    <row r="207" spans="1:9" x14ac:dyDescent="0.25">
      <c r="A207" s="8"/>
      <c r="B207" s="44" t="s">
        <v>6</v>
      </c>
      <c r="C207" s="45">
        <v>2006</v>
      </c>
      <c r="D207" s="58">
        <v>453.31</v>
      </c>
      <c r="E207" s="58">
        <v>298.67</v>
      </c>
      <c r="F207" s="46">
        <f t="shared" si="14"/>
        <v>154.63999999999999</v>
      </c>
      <c r="G207" s="59">
        <f t="shared" si="15"/>
        <v>0.34113520548851778</v>
      </c>
      <c r="I207" s="7"/>
    </row>
    <row r="208" spans="1:9" x14ac:dyDescent="0.25">
      <c r="A208" s="8"/>
      <c r="B208" s="44" t="s">
        <v>17</v>
      </c>
      <c r="C208" s="45">
        <v>2006</v>
      </c>
      <c r="D208" s="58">
        <v>453.26</v>
      </c>
      <c r="E208" s="58">
        <v>298.67</v>
      </c>
      <c r="F208" s="46">
        <f t="shared" si="14"/>
        <v>154.58999999999997</v>
      </c>
      <c r="G208" s="59">
        <f t="shared" si="15"/>
        <v>0.34106252482019145</v>
      </c>
      <c r="I208" s="7"/>
    </row>
    <row r="209" spans="1:9" x14ac:dyDescent="0.25">
      <c r="A209" s="31" t="s">
        <v>39</v>
      </c>
      <c r="B209" s="40" t="s">
        <v>9</v>
      </c>
      <c r="C209" s="41">
        <v>2007</v>
      </c>
      <c r="D209" s="57">
        <v>453.97</v>
      </c>
      <c r="E209" s="57">
        <v>317.33999999999997</v>
      </c>
      <c r="F209" s="42">
        <f t="shared" si="14"/>
        <v>136.63000000000005</v>
      </c>
      <c r="G209" s="53">
        <f t="shared" si="15"/>
        <v>0.300967024252704</v>
      </c>
      <c r="I209" s="7"/>
    </row>
    <row r="210" spans="1:9" x14ac:dyDescent="0.25">
      <c r="A210" s="31"/>
      <c r="B210" s="40" t="s">
        <v>22</v>
      </c>
      <c r="C210" s="41">
        <v>2007</v>
      </c>
      <c r="D210" s="57">
        <v>453.75</v>
      </c>
      <c r="E210" s="57">
        <v>317.33999999999997</v>
      </c>
      <c r="F210" s="42">
        <f t="shared" si="14"/>
        <v>136.41000000000003</v>
      </c>
      <c r="G210" s="53">
        <f t="shared" si="15"/>
        <v>0.30062809917355376</v>
      </c>
      <c r="I210" s="7"/>
    </row>
    <row r="211" spans="1:9" x14ac:dyDescent="0.25">
      <c r="A211" s="31"/>
      <c r="B211" s="40" t="s">
        <v>10</v>
      </c>
      <c r="C211" s="41">
        <v>2007</v>
      </c>
      <c r="D211" s="57">
        <v>454.29</v>
      </c>
      <c r="E211" s="57">
        <v>317.33999999999997</v>
      </c>
      <c r="F211" s="42">
        <f t="shared" si="14"/>
        <v>136.95000000000005</v>
      </c>
      <c r="G211" s="53">
        <f t="shared" si="15"/>
        <v>0.30145942019414917</v>
      </c>
      <c r="I211" s="7"/>
    </row>
    <row r="212" spans="1:9" x14ac:dyDescent="0.25">
      <c r="A212" s="31"/>
      <c r="B212" s="40" t="s">
        <v>21</v>
      </c>
      <c r="C212" s="41">
        <v>2007</v>
      </c>
      <c r="D212" s="57">
        <v>455</v>
      </c>
      <c r="E212" s="57">
        <v>317.33999999999997</v>
      </c>
      <c r="F212" s="42">
        <f t="shared" si="14"/>
        <v>137.66000000000003</v>
      </c>
      <c r="G212" s="53">
        <f t="shared" si="15"/>
        <v>0.30254945054945059</v>
      </c>
      <c r="I212" s="7"/>
    </row>
    <row r="213" spans="1:9" x14ac:dyDescent="0.25">
      <c r="A213" s="31"/>
      <c r="B213" s="40" t="s">
        <v>15</v>
      </c>
      <c r="C213" s="41">
        <v>2007</v>
      </c>
      <c r="D213" s="57">
        <v>455.29</v>
      </c>
      <c r="E213" s="57">
        <v>317.33999999999997</v>
      </c>
      <c r="F213" s="42">
        <f t="shared" si="14"/>
        <v>137.95000000000005</v>
      </c>
      <c r="G213" s="53">
        <f t="shared" si="15"/>
        <v>0.30299369632541906</v>
      </c>
      <c r="I213" s="7"/>
    </row>
    <row r="214" spans="1:9" x14ac:dyDescent="0.25">
      <c r="A214" s="31"/>
      <c r="B214" s="40" t="s">
        <v>12</v>
      </c>
      <c r="C214" s="41">
        <v>2007</v>
      </c>
      <c r="D214" s="57">
        <v>457.79</v>
      </c>
      <c r="E214" s="57">
        <v>317.33999999999997</v>
      </c>
      <c r="F214" s="42">
        <f t="shared" si="14"/>
        <v>140.45000000000005</v>
      </c>
      <c r="G214" s="53">
        <f t="shared" si="15"/>
        <v>0.30680006116341563</v>
      </c>
      <c r="I214" s="7"/>
    </row>
    <row r="215" spans="1:9" x14ac:dyDescent="0.25">
      <c r="A215" s="31"/>
      <c r="B215" s="40" t="s">
        <v>7</v>
      </c>
      <c r="C215" s="41">
        <v>2007</v>
      </c>
      <c r="D215" s="57">
        <v>461.75</v>
      </c>
      <c r="E215" s="57">
        <v>317.33999999999997</v>
      </c>
      <c r="F215" s="42">
        <f t="shared" si="14"/>
        <v>144.41000000000003</v>
      </c>
      <c r="G215" s="53">
        <f t="shared" si="15"/>
        <v>0.31274499187872229</v>
      </c>
      <c r="I215" s="7"/>
    </row>
    <row r="216" spans="1:9" x14ac:dyDescent="0.25">
      <c r="A216" s="31"/>
      <c r="B216" s="40" t="s">
        <v>11</v>
      </c>
      <c r="C216" s="41">
        <v>2007</v>
      </c>
      <c r="D216" s="57">
        <v>463</v>
      </c>
      <c r="E216" s="57">
        <v>317.33999999999997</v>
      </c>
      <c r="F216" s="42">
        <f t="shared" si="14"/>
        <v>145.66000000000003</v>
      </c>
      <c r="G216" s="53">
        <f t="shared" si="15"/>
        <v>0.31460043196544279</v>
      </c>
      <c r="I216" s="7"/>
    </row>
    <row r="217" spans="1:9" x14ac:dyDescent="0.25">
      <c r="A217" s="31"/>
      <c r="B217" s="40" t="s">
        <v>14</v>
      </c>
      <c r="C217" s="41">
        <v>2007</v>
      </c>
      <c r="D217" s="57">
        <v>464.9</v>
      </c>
      <c r="E217" s="57">
        <v>317.33999999999997</v>
      </c>
      <c r="F217" s="42">
        <f t="shared" si="14"/>
        <v>147.56</v>
      </c>
      <c r="G217" s="53">
        <f t="shared" si="15"/>
        <v>0.31740159174015919</v>
      </c>
      <c r="I217" s="7"/>
    </row>
    <row r="218" spans="1:9" x14ac:dyDescent="0.25">
      <c r="A218" s="31"/>
      <c r="B218" s="40" t="s">
        <v>16</v>
      </c>
      <c r="C218" s="41">
        <v>2007</v>
      </c>
      <c r="D218" s="57">
        <v>467.57</v>
      </c>
      <c r="E218" s="57">
        <v>317.33999999999997</v>
      </c>
      <c r="F218" s="42">
        <f t="shared" si="14"/>
        <v>150.23000000000002</v>
      </c>
      <c r="G218" s="53">
        <f t="shared" si="15"/>
        <v>0.32129948456915547</v>
      </c>
      <c r="I218" s="7"/>
    </row>
    <row r="219" spans="1:9" x14ac:dyDescent="0.25">
      <c r="A219" s="31"/>
      <c r="B219" s="40" t="s">
        <v>6</v>
      </c>
      <c r="C219" s="41">
        <v>2007</v>
      </c>
      <c r="D219" s="57">
        <v>469.57</v>
      </c>
      <c r="E219" s="57">
        <v>317.33999999999997</v>
      </c>
      <c r="F219" s="42">
        <f t="shared" si="14"/>
        <v>152.23000000000002</v>
      </c>
      <c r="G219" s="53">
        <f t="shared" si="15"/>
        <v>0.32419021658112745</v>
      </c>
      <c r="I219" s="7"/>
    </row>
    <row r="220" spans="1:9" x14ac:dyDescent="0.25">
      <c r="A220" s="31"/>
      <c r="B220" s="40" t="s">
        <v>17</v>
      </c>
      <c r="C220" s="41">
        <v>2007</v>
      </c>
      <c r="D220" s="57">
        <v>472.74</v>
      </c>
      <c r="E220" s="57">
        <v>317.33999999999997</v>
      </c>
      <c r="F220" s="42">
        <f t="shared" si="14"/>
        <v>155.40000000000003</v>
      </c>
      <c r="G220" s="53">
        <f t="shared" si="15"/>
        <v>0.3287219190252571</v>
      </c>
      <c r="I220" s="7"/>
    </row>
    <row r="221" spans="1:9" x14ac:dyDescent="0.25">
      <c r="A221" s="31"/>
      <c r="B221" s="40" t="s">
        <v>9</v>
      </c>
      <c r="C221" s="41">
        <v>2008</v>
      </c>
      <c r="D221" s="57">
        <v>478.82</v>
      </c>
      <c r="E221" s="57">
        <v>373.34</v>
      </c>
      <c r="F221" s="42">
        <f t="shared" si="14"/>
        <v>105.48000000000002</v>
      </c>
      <c r="G221" s="53">
        <f t="shared" si="15"/>
        <v>0.22029155006056561</v>
      </c>
      <c r="I221" s="7"/>
    </row>
    <row r="222" spans="1:9" x14ac:dyDescent="0.25">
      <c r="A222" s="31"/>
      <c r="B222" s="40" t="s">
        <v>22</v>
      </c>
      <c r="C222" s="41">
        <v>2008</v>
      </c>
      <c r="D222" s="57">
        <v>483.1</v>
      </c>
      <c r="E222" s="57">
        <v>373.34</v>
      </c>
      <c r="F222" s="42">
        <f t="shared" si="14"/>
        <v>109.76000000000005</v>
      </c>
      <c r="G222" s="53">
        <f t="shared" si="15"/>
        <v>0.22719933761126071</v>
      </c>
      <c r="I222" s="7"/>
    </row>
    <row r="223" spans="1:9" x14ac:dyDescent="0.25">
      <c r="A223" s="31"/>
      <c r="B223" s="40" t="s">
        <v>10</v>
      </c>
      <c r="C223" s="41">
        <v>2008</v>
      </c>
      <c r="D223" s="57">
        <v>488.83</v>
      </c>
      <c r="E223" s="57">
        <v>373.34</v>
      </c>
      <c r="F223" s="42">
        <f t="shared" si="14"/>
        <v>115.49000000000001</v>
      </c>
      <c r="G223" s="53">
        <f t="shared" si="15"/>
        <v>0.23625800380500381</v>
      </c>
      <c r="I223" s="7"/>
    </row>
    <row r="224" spans="1:9" x14ac:dyDescent="0.25">
      <c r="A224" s="31"/>
      <c r="B224" s="40" t="s">
        <v>21</v>
      </c>
      <c r="C224" s="41">
        <v>2008</v>
      </c>
      <c r="D224" s="57">
        <v>495.82</v>
      </c>
      <c r="E224" s="57">
        <v>373.34</v>
      </c>
      <c r="F224" s="42">
        <f t="shared" si="14"/>
        <v>122.48000000000002</v>
      </c>
      <c r="G224" s="53">
        <f t="shared" si="15"/>
        <v>0.2470251300875318</v>
      </c>
      <c r="I224" s="7"/>
    </row>
    <row r="225" spans="1:9" x14ac:dyDescent="0.25">
      <c r="A225" s="31"/>
      <c r="B225" s="40" t="s">
        <v>15</v>
      </c>
      <c r="C225" s="41">
        <v>2008</v>
      </c>
      <c r="D225" s="57">
        <v>503.05</v>
      </c>
      <c r="E225" s="57">
        <v>373.34</v>
      </c>
      <c r="F225" s="42">
        <f t="shared" si="14"/>
        <v>129.71000000000004</v>
      </c>
      <c r="G225" s="53">
        <f t="shared" si="15"/>
        <v>0.25784713249180008</v>
      </c>
      <c r="I225" s="7"/>
    </row>
    <row r="226" spans="1:9" x14ac:dyDescent="0.25">
      <c r="A226" s="31"/>
      <c r="B226" s="40" t="s">
        <v>12</v>
      </c>
      <c r="C226" s="41">
        <v>2008</v>
      </c>
      <c r="D226" s="57">
        <v>506.84</v>
      </c>
      <c r="E226" s="57">
        <v>373.34</v>
      </c>
      <c r="F226" s="42">
        <f t="shared" si="14"/>
        <v>133.5</v>
      </c>
      <c r="G226" s="53">
        <f t="shared" si="15"/>
        <v>0.26339673269670905</v>
      </c>
      <c r="I226" s="7"/>
    </row>
    <row r="227" spans="1:9" x14ac:dyDescent="0.25">
      <c r="A227" s="31"/>
      <c r="B227" s="40" t="s">
        <v>7</v>
      </c>
      <c r="C227" s="41">
        <v>2008</v>
      </c>
      <c r="D227" s="57">
        <v>507.48</v>
      </c>
      <c r="E227" s="57">
        <v>373.34</v>
      </c>
      <c r="F227" s="42">
        <f t="shared" si="14"/>
        <v>134.14000000000004</v>
      </c>
      <c r="G227" s="53">
        <f t="shared" si="15"/>
        <v>0.26432568771183107</v>
      </c>
      <c r="I227" s="7"/>
    </row>
    <row r="228" spans="1:9" x14ac:dyDescent="0.25">
      <c r="A228" s="31"/>
      <c r="B228" s="40" t="s">
        <v>11</v>
      </c>
      <c r="C228" s="41">
        <v>2008</v>
      </c>
      <c r="D228" s="57">
        <v>507.84</v>
      </c>
      <c r="E228" s="57">
        <v>373.34</v>
      </c>
      <c r="F228" s="42">
        <f t="shared" si="14"/>
        <v>134.5</v>
      </c>
      <c r="G228" s="61">
        <f t="shared" si="15"/>
        <v>0.26484719596723377</v>
      </c>
      <c r="I228" s="7"/>
    </row>
    <row r="229" spans="1:9" x14ac:dyDescent="0.25">
      <c r="A229" s="31"/>
      <c r="B229" s="40" t="s">
        <v>14</v>
      </c>
      <c r="C229" s="41">
        <v>2008</v>
      </c>
      <c r="D229" s="57">
        <v>509.35</v>
      </c>
      <c r="E229" s="57">
        <v>373.34</v>
      </c>
      <c r="F229" s="42">
        <f t="shared" si="14"/>
        <v>136.01000000000005</v>
      </c>
      <c r="G229" s="61">
        <f t="shared" si="15"/>
        <v>0.26702660253263971</v>
      </c>
      <c r="I229" s="7"/>
    </row>
    <row r="230" spans="1:9" x14ac:dyDescent="0.25">
      <c r="A230" s="31"/>
      <c r="B230" s="40" t="s">
        <v>16</v>
      </c>
      <c r="C230" s="41">
        <v>2008</v>
      </c>
      <c r="D230" s="57">
        <v>507.32</v>
      </c>
      <c r="E230" s="57">
        <v>373.34</v>
      </c>
      <c r="F230" s="42">
        <f t="shared" si="14"/>
        <v>133.98000000000002</v>
      </c>
      <c r="G230" s="61">
        <f t="shared" si="15"/>
        <v>0.26409366869037298</v>
      </c>
      <c r="I230" s="7"/>
    </row>
    <row r="231" spans="1:9" x14ac:dyDescent="0.25">
      <c r="A231" s="31"/>
      <c r="B231" s="40" t="s">
        <v>6</v>
      </c>
      <c r="C231" s="41">
        <v>2008</v>
      </c>
      <c r="D231" s="57">
        <v>506.79</v>
      </c>
      <c r="E231" s="57">
        <v>373.34</v>
      </c>
      <c r="F231" s="42">
        <f t="shared" si="14"/>
        <v>133.45000000000005</v>
      </c>
      <c r="G231" s="61">
        <f t="shared" si="15"/>
        <v>0.26332405927504499</v>
      </c>
      <c r="I231" s="7"/>
    </row>
    <row r="232" spans="1:9" x14ac:dyDescent="0.25">
      <c r="A232" s="31"/>
      <c r="B232" s="40" t="s">
        <v>17</v>
      </c>
      <c r="C232" s="41">
        <v>2008</v>
      </c>
      <c r="D232" s="57">
        <v>508.94</v>
      </c>
      <c r="E232" s="57">
        <v>373.34</v>
      </c>
      <c r="F232" s="42">
        <f t="shared" si="14"/>
        <v>135.60000000000002</v>
      </c>
      <c r="G232" s="61">
        <f t="shared" si="15"/>
        <v>0.26643612213620471</v>
      </c>
      <c r="I232" s="7"/>
    </row>
    <row r="233" spans="1:9" x14ac:dyDescent="0.25">
      <c r="A233" s="31"/>
      <c r="B233" s="40" t="s">
        <v>9</v>
      </c>
      <c r="C233" s="41">
        <v>2009</v>
      </c>
      <c r="D233" s="57">
        <v>512.03</v>
      </c>
      <c r="E233" s="57">
        <v>406.93</v>
      </c>
      <c r="F233" s="42">
        <f t="shared" si="14"/>
        <v>105.09999999999997</v>
      </c>
      <c r="G233" s="61">
        <f t="shared" si="15"/>
        <v>0.20526141046423055</v>
      </c>
      <c r="I233" s="7"/>
    </row>
    <row r="234" spans="1:9" x14ac:dyDescent="0.25">
      <c r="A234" s="31"/>
      <c r="B234" s="40" t="s">
        <v>22</v>
      </c>
      <c r="C234" s="41">
        <v>2009</v>
      </c>
      <c r="D234" s="57">
        <v>513.27</v>
      </c>
      <c r="E234" s="57">
        <v>406.93</v>
      </c>
      <c r="F234" s="42">
        <f t="shared" si="14"/>
        <v>106.33999999999997</v>
      </c>
      <c r="G234" s="61">
        <f t="shared" si="15"/>
        <v>0.2071814054980809</v>
      </c>
      <c r="I234" s="7"/>
    </row>
    <row r="235" spans="1:9" x14ac:dyDescent="0.25">
      <c r="A235" s="31"/>
      <c r="B235" s="40" t="s">
        <v>10</v>
      </c>
      <c r="C235" s="41">
        <v>2009</v>
      </c>
      <c r="D235" s="57">
        <v>519.9</v>
      </c>
      <c r="E235" s="57">
        <v>406.93</v>
      </c>
      <c r="F235" s="42">
        <f t="shared" si="14"/>
        <v>112.96999999999997</v>
      </c>
      <c r="G235" s="61">
        <f t="shared" si="15"/>
        <v>0.21729178688209266</v>
      </c>
      <c r="I235" s="7"/>
    </row>
    <row r="236" spans="1:9" x14ac:dyDescent="0.25">
      <c r="A236" s="31"/>
      <c r="B236" s="40" t="s">
        <v>21</v>
      </c>
      <c r="C236" s="41">
        <v>2009</v>
      </c>
      <c r="D236" s="57">
        <v>522.76</v>
      </c>
      <c r="E236" s="57">
        <v>406.93</v>
      </c>
      <c r="F236" s="42">
        <f>+D236-E236</f>
        <v>115.82999999999998</v>
      </c>
      <c r="G236" s="61">
        <f>+F236/D236</f>
        <v>0.22157395363072918</v>
      </c>
      <c r="I236" s="7"/>
    </row>
    <row r="237" spans="1:9" x14ac:dyDescent="0.25">
      <c r="A237" s="31"/>
      <c r="B237" s="40" t="s">
        <v>15</v>
      </c>
      <c r="C237" s="41">
        <v>2009</v>
      </c>
      <c r="D237" s="57">
        <v>522.75</v>
      </c>
      <c r="E237" s="57">
        <v>406.93</v>
      </c>
      <c r="F237" s="42">
        <f>+D237-E237</f>
        <v>115.82</v>
      </c>
      <c r="G237" s="61">
        <f>+F237/D237</f>
        <v>0.22155906264945002</v>
      </c>
      <c r="I237" s="7"/>
    </row>
    <row r="238" spans="1:9" x14ac:dyDescent="0.25">
      <c r="A238" s="31"/>
      <c r="B238" s="40" t="s">
        <v>12</v>
      </c>
      <c r="C238" s="41">
        <v>2009</v>
      </c>
      <c r="D238" s="57">
        <v>522.38</v>
      </c>
      <c r="E238" s="57">
        <v>406.93</v>
      </c>
      <c r="F238" s="42">
        <f>+D238-E238</f>
        <v>115.44999999999999</v>
      </c>
      <c r="G238" s="61">
        <f>+F238/D238</f>
        <v>0.22100769554730271</v>
      </c>
      <c r="I238" s="7"/>
    </row>
    <row r="239" spans="1:9" x14ac:dyDescent="0.25">
      <c r="A239" s="31"/>
      <c r="B239" s="40" t="s">
        <v>7</v>
      </c>
      <c r="C239" s="41">
        <v>2009</v>
      </c>
      <c r="D239" s="57">
        <v>521.73</v>
      </c>
      <c r="E239" s="57">
        <v>406.93</v>
      </c>
      <c r="F239" s="42">
        <f>+D239-E239</f>
        <v>114.80000000000001</v>
      </c>
      <c r="G239" s="61">
        <f>+F239/D239</f>
        <v>0.22003718398405306</v>
      </c>
      <c r="I239" s="7"/>
    </row>
    <row r="240" spans="1:9" x14ac:dyDescent="0.25">
      <c r="A240" s="31"/>
      <c r="B240" s="40" t="s">
        <v>11</v>
      </c>
      <c r="C240" s="41">
        <v>2009</v>
      </c>
      <c r="D240" s="57">
        <v>519.29999999999995</v>
      </c>
      <c r="E240" s="57">
        <v>406.93</v>
      </c>
      <c r="F240" s="42">
        <f>+D240-E240</f>
        <v>112.36999999999995</v>
      </c>
      <c r="G240" s="61">
        <f>+F240/D240</f>
        <v>0.21638744463701129</v>
      </c>
      <c r="I240" s="7"/>
    </row>
    <row r="241" spans="1:9" x14ac:dyDescent="0.25">
      <c r="A241" s="31"/>
      <c r="B241" s="40" t="s">
        <v>14</v>
      </c>
      <c r="C241" s="41">
        <v>2009</v>
      </c>
      <c r="D241" s="57">
        <v>521.26</v>
      </c>
      <c r="E241" s="57">
        <v>406.93</v>
      </c>
      <c r="F241" s="42">
        <f t="shared" ref="F241:F248" si="16">+D241-E241</f>
        <v>114.32999999999998</v>
      </c>
      <c r="G241" s="61">
        <f t="shared" ref="G241:G248" si="17">+F241/D241</f>
        <v>0.21933392165138316</v>
      </c>
      <c r="I241" s="7"/>
    </row>
    <row r="242" spans="1:9" x14ac:dyDescent="0.25">
      <c r="A242" s="31"/>
      <c r="B242" s="40" t="s">
        <v>16</v>
      </c>
      <c r="C242" s="41">
        <v>2009</v>
      </c>
      <c r="D242" s="57">
        <v>522.34</v>
      </c>
      <c r="E242" s="57">
        <v>406.93</v>
      </c>
      <c r="F242" s="42">
        <f t="shared" si="16"/>
        <v>115.41000000000003</v>
      </c>
      <c r="G242" s="61">
        <f t="shared" si="17"/>
        <v>0.22094804150553282</v>
      </c>
      <c r="I242" s="7"/>
    </row>
    <row r="243" spans="1:9" x14ac:dyDescent="0.25">
      <c r="A243" s="31"/>
      <c r="B243" s="40" t="s">
        <v>6</v>
      </c>
      <c r="C243" s="41">
        <v>2009</v>
      </c>
      <c r="D243" s="57">
        <v>522.59</v>
      </c>
      <c r="E243" s="57">
        <v>406.93</v>
      </c>
      <c r="F243" s="42">
        <f t="shared" si="16"/>
        <v>115.66000000000003</v>
      </c>
      <c r="G243" s="61">
        <f t="shared" si="17"/>
        <v>0.22132072944373221</v>
      </c>
      <c r="I243" s="7"/>
    </row>
    <row r="244" spans="1:9" x14ac:dyDescent="0.25">
      <c r="A244" s="31"/>
      <c r="B244" s="40" t="s">
        <v>17</v>
      </c>
      <c r="C244" s="41">
        <v>2009</v>
      </c>
      <c r="D244" s="57">
        <v>528.9</v>
      </c>
      <c r="E244" s="57">
        <v>406.93</v>
      </c>
      <c r="F244" s="42">
        <f t="shared" si="16"/>
        <v>121.96999999999997</v>
      </c>
      <c r="G244" s="61">
        <f t="shared" si="17"/>
        <v>0.23061070145585172</v>
      </c>
      <c r="I244" s="7"/>
    </row>
    <row r="245" spans="1:9" x14ac:dyDescent="0.25">
      <c r="A245" s="31"/>
      <c r="B245" s="40" t="s">
        <v>9</v>
      </c>
      <c r="C245" s="41">
        <v>2010</v>
      </c>
      <c r="D245" s="57">
        <v>534.33000000000004</v>
      </c>
      <c r="E245" s="57">
        <v>448</v>
      </c>
      <c r="F245" s="42">
        <f t="shared" si="16"/>
        <v>86.330000000000041</v>
      </c>
      <c r="G245" s="61">
        <f t="shared" si="17"/>
        <v>0.16156682200138497</v>
      </c>
      <c r="I245" s="7"/>
    </row>
    <row r="246" spans="1:9" x14ac:dyDescent="0.25">
      <c r="A246" s="31"/>
      <c r="B246" s="40" t="s">
        <v>22</v>
      </c>
      <c r="C246" s="41">
        <v>2010</v>
      </c>
      <c r="D246" s="57">
        <v>535.48</v>
      </c>
      <c r="E246" s="57">
        <v>448</v>
      </c>
      <c r="F246" s="42">
        <f t="shared" si="16"/>
        <v>87.480000000000018</v>
      </c>
      <c r="G246" s="61">
        <f t="shared" si="17"/>
        <v>0.16336744602973036</v>
      </c>
      <c r="I246" s="7"/>
    </row>
    <row r="247" spans="1:9" x14ac:dyDescent="0.25">
      <c r="A247" s="31"/>
      <c r="B247" s="40" t="s">
        <v>10</v>
      </c>
      <c r="C247" s="41">
        <v>2010</v>
      </c>
      <c r="D247" s="57">
        <v>535.55999999999995</v>
      </c>
      <c r="E247" s="57">
        <v>448</v>
      </c>
      <c r="F247" s="42">
        <f t="shared" si="16"/>
        <v>87.559999999999945</v>
      </c>
      <c r="G247" s="61">
        <f t="shared" si="17"/>
        <v>0.16349241915004847</v>
      </c>
      <c r="I247" s="7"/>
    </row>
    <row r="248" spans="1:9" x14ac:dyDescent="0.25">
      <c r="A248" s="31"/>
      <c r="B248" s="40" t="s">
        <v>21</v>
      </c>
      <c r="C248" s="41">
        <v>2010</v>
      </c>
      <c r="D248" s="57">
        <v>539.66999999999996</v>
      </c>
      <c r="E248" s="57">
        <v>448</v>
      </c>
      <c r="F248" s="42">
        <f t="shared" si="16"/>
        <v>91.669999999999959</v>
      </c>
      <c r="G248" s="61">
        <f t="shared" si="17"/>
        <v>0.16986306446532135</v>
      </c>
      <c r="I248" s="7"/>
    </row>
    <row r="249" spans="1:9" x14ac:dyDescent="0.25">
      <c r="A249" s="31"/>
      <c r="B249" s="40" t="s">
        <v>15</v>
      </c>
      <c r="C249" s="41">
        <v>2010</v>
      </c>
      <c r="D249" s="57">
        <v>538.89</v>
      </c>
      <c r="E249" s="57">
        <v>448</v>
      </c>
      <c r="F249" s="42">
        <f>+D249-E249</f>
        <v>90.889999999999986</v>
      </c>
      <c r="G249" s="61">
        <f>+F249/D249</f>
        <v>0.16866150791441664</v>
      </c>
      <c r="I249" s="7"/>
    </row>
    <row r="250" spans="1:9" x14ac:dyDescent="0.25">
      <c r="A250" s="31"/>
      <c r="B250" s="40" t="s">
        <v>12</v>
      </c>
      <c r="C250" s="41">
        <v>2010</v>
      </c>
      <c r="D250" s="57">
        <v>538.12</v>
      </c>
      <c r="E250" s="57">
        <v>448</v>
      </c>
      <c r="F250" s="42">
        <f>+D250-E250</f>
        <v>90.12</v>
      </c>
      <c r="G250" s="61">
        <f>+F250/D250</f>
        <v>0.16747193934438415</v>
      </c>
      <c r="I250" s="7"/>
    </row>
    <row r="251" spans="1:9" x14ac:dyDescent="0.25">
      <c r="A251" s="31"/>
      <c r="B251" s="40" t="s">
        <v>7</v>
      </c>
      <c r="C251" s="41">
        <v>2010</v>
      </c>
      <c r="D251" s="57">
        <v>536.92999999999995</v>
      </c>
      <c r="E251" s="57">
        <v>448</v>
      </c>
      <c r="F251" s="42">
        <f>+D251-E251</f>
        <v>88.92999999999995</v>
      </c>
      <c r="G251" s="61">
        <f>+F251/D251</f>
        <v>0.16562680423891374</v>
      </c>
      <c r="I251" s="7"/>
    </row>
    <row r="252" spans="1:9" x14ac:dyDescent="0.25">
      <c r="A252" s="31"/>
      <c r="B252" s="40" t="s">
        <v>11</v>
      </c>
      <c r="C252" s="41">
        <v>2010</v>
      </c>
      <c r="D252" s="57">
        <v>538.73</v>
      </c>
      <c r="E252" s="57">
        <v>448</v>
      </c>
      <c r="F252" s="42">
        <f>+D252-E252</f>
        <v>90.730000000000018</v>
      </c>
      <c r="G252" s="61">
        <f>+F252/D252</f>
        <v>0.16841460471850467</v>
      </c>
      <c r="I252" s="7"/>
    </row>
    <row r="253" spans="1:9" x14ac:dyDescent="0.25">
      <c r="A253" s="31"/>
      <c r="B253" s="40" t="s">
        <v>14</v>
      </c>
      <c r="C253" s="41">
        <v>2010</v>
      </c>
      <c r="D253" s="57">
        <v>539.36</v>
      </c>
      <c r="E253" s="57">
        <v>448</v>
      </c>
      <c r="F253" s="42">
        <f>+D253-E253</f>
        <v>91.360000000000014</v>
      </c>
      <c r="G253" s="61">
        <f>+F253/D253</f>
        <v>0.16938593889053696</v>
      </c>
      <c r="I253" s="7"/>
    </row>
    <row r="254" spans="1:9" x14ac:dyDescent="0.25">
      <c r="A254" s="31"/>
      <c r="B254" s="40" t="s">
        <v>16</v>
      </c>
      <c r="C254" s="41">
        <v>2010</v>
      </c>
      <c r="D254" s="57">
        <v>540.1</v>
      </c>
      <c r="E254" s="57">
        <v>448</v>
      </c>
      <c r="F254" s="42">
        <f t="shared" ref="F254:F282" si="18">+D254-E254</f>
        <v>92.100000000000023</v>
      </c>
      <c r="G254" s="61">
        <f t="shared" ref="G254:G272" si="19">+F254/D254</f>
        <v>0.17052397704128869</v>
      </c>
      <c r="I254" s="7"/>
    </row>
    <row r="255" spans="1:9" x14ac:dyDescent="0.25">
      <c r="A255" s="31"/>
      <c r="B255" s="40" t="s">
        <v>6</v>
      </c>
      <c r="C255" s="41">
        <v>2010</v>
      </c>
      <c r="D255" s="57">
        <v>541.82000000000005</v>
      </c>
      <c r="E255" s="57">
        <v>448</v>
      </c>
      <c r="F255" s="42">
        <f t="shared" si="18"/>
        <v>93.82000000000005</v>
      </c>
      <c r="G255" s="61">
        <f t="shared" si="19"/>
        <v>0.17315713705658714</v>
      </c>
      <c r="I255" s="7"/>
    </row>
    <row r="256" spans="1:9" x14ac:dyDescent="0.25">
      <c r="A256" s="31"/>
      <c r="B256" s="40" t="s">
        <v>17</v>
      </c>
      <c r="C256" s="41">
        <v>2010</v>
      </c>
      <c r="D256" s="57">
        <v>544.71</v>
      </c>
      <c r="E256" s="57">
        <v>448</v>
      </c>
      <c r="F256" s="42">
        <f t="shared" si="18"/>
        <v>96.710000000000036</v>
      </c>
      <c r="G256" s="61">
        <f t="shared" si="19"/>
        <v>0.17754401424611266</v>
      </c>
      <c r="I256" s="7"/>
    </row>
    <row r="257" spans="1:9" x14ac:dyDescent="0.25">
      <c r="A257" s="31"/>
      <c r="B257" s="40" t="s">
        <v>9</v>
      </c>
      <c r="C257" s="41">
        <v>2011</v>
      </c>
      <c r="D257" s="57">
        <v>548.63</v>
      </c>
      <c r="E257" s="57">
        <v>492.8</v>
      </c>
      <c r="F257" s="42">
        <f t="shared" si="18"/>
        <v>55.829999999999984</v>
      </c>
      <c r="G257" s="61">
        <f t="shared" si="19"/>
        <v>0.10176257222536132</v>
      </c>
      <c r="I257" s="7"/>
    </row>
    <row r="258" spans="1:9" x14ac:dyDescent="0.25">
      <c r="A258" s="31"/>
      <c r="B258" s="40" t="s">
        <v>22</v>
      </c>
      <c r="C258" s="41">
        <v>2011</v>
      </c>
      <c r="D258" s="57">
        <v>551.24</v>
      </c>
      <c r="E258" s="57">
        <v>492.8</v>
      </c>
      <c r="F258" s="42">
        <f t="shared" si="18"/>
        <v>58.44</v>
      </c>
      <c r="G258" s="61">
        <f t="shared" si="19"/>
        <v>0.10601552862636963</v>
      </c>
      <c r="I258" s="7"/>
    </row>
    <row r="259" spans="1:9" x14ac:dyDescent="0.25">
      <c r="A259" s="31"/>
      <c r="B259" s="40" t="s">
        <v>10</v>
      </c>
      <c r="C259" s="41">
        <v>2011</v>
      </c>
      <c r="D259" s="57">
        <v>551.87</v>
      </c>
      <c r="E259" s="57">
        <v>492.8</v>
      </c>
      <c r="F259" s="42">
        <f t="shared" si="18"/>
        <v>59.069999999999993</v>
      </c>
      <c r="G259" s="61">
        <f t="shared" si="19"/>
        <v>0.107036077337054</v>
      </c>
      <c r="I259" s="7"/>
    </row>
    <row r="260" spans="1:9" x14ac:dyDescent="0.25">
      <c r="A260" s="31"/>
      <c r="B260" s="40" t="s">
        <v>21</v>
      </c>
      <c r="C260" s="41">
        <v>2011</v>
      </c>
      <c r="D260" s="57">
        <v>555.27</v>
      </c>
      <c r="E260" s="57">
        <v>492.8</v>
      </c>
      <c r="F260" s="42">
        <f t="shared" si="18"/>
        <v>62.46999999999997</v>
      </c>
      <c r="G260" s="61">
        <f t="shared" si="19"/>
        <v>0.11250382696706102</v>
      </c>
      <c r="I260" s="7"/>
    </row>
    <row r="261" spans="1:9" x14ac:dyDescent="0.25">
      <c r="A261" s="31"/>
      <c r="B261" s="40" t="s">
        <v>15</v>
      </c>
      <c r="C261" s="41">
        <v>2011</v>
      </c>
      <c r="D261" s="57">
        <v>557.44000000000005</v>
      </c>
      <c r="E261" s="57">
        <v>492.8</v>
      </c>
      <c r="F261" s="42">
        <f t="shared" si="18"/>
        <v>64.640000000000043</v>
      </c>
      <c r="G261" s="61">
        <f t="shared" si="19"/>
        <v>0.11595866819747423</v>
      </c>
      <c r="I261" s="7"/>
    </row>
    <row r="262" spans="1:9" x14ac:dyDescent="0.25">
      <c r="A262" s="31"/>
      <c r="B262" s="40" t="s">
        <v>12</v>
      </c>
      <c r="C262" s="41">
        <v>2011</v>
      </c>
      <c r="D262" s="57">
        <v>556.92999999999995</v>
      </c>
      <c r="E262" s="57">
        <v>492.8</v>
      </c>
      <c r="F262" s="42">
        <f t="shared" si="18"/>
        <v>64.129999999999939</v>
      </c>
      <c r="G262" s="61">
        <f t="shared" si="19"/>
        <v>0.11514912107446168</v>
      </c>
      <c r="I262" s="7"/>
    </row>
    <row r="263" spans="1:9" x14ac:dyDescent="0.25">
      <c r="A263" s="31"/>
      <c r="B263" s="40" t="s">
        <v>7</v>
      </c>
      <c r="C263" s="41">
        <v>2011</v>
      </c>
      <c r="D263" s="57">
        <v>559.41</v>
      </c>
      <c r="E263" s="57">
        <v>492.8</v>
      </c>
      <c r="F263" s="42">
        <f t="shared" si="18"/>
        <v>66.609999999999957</v>
      </c>
      <c r="G263" s="61">
        <f t="shared" si="19"/>
        <v>0.11907187930140677</v>
      </c>
      <c r="I263" s="7"/>
    </row>
    <row r="264" spans="1:9" x14ac:dyDescent="0.25">
      <c r="A264" s="31"/>
      <c r="B264" s="40" t="s">
        <v>11</v>
      </c>
      <c r="C264" s="41">
        <v>2011</v>
      </c>
      <c r="D264" s="57">
        <v>563.75</v>
      </c>
      <c r="E264" s="57">
        <v>492.8</v>
      </c>
      <c r="F264" s="42">
        <f t="shared" si="18"/>
        <v>70.949999999999989</v>
      </c>
      <c r="G264" s="61">
        <f t="shared" si="19"/>
        <v>0.12585365853658534</v>
      </c>
      <c r="I264" s="7"/>
    </row>
    <row r="265" spans="1:9" x14ac:dyDescent="0.25">
      <c r="A265" s="31"/>
      <c r="B265" s="40" t="s">
        <v>14</v>
      </c>
      <c r="C265" s="41">
        <v>2011</v>
      </c>
      <c r="D265" s="57">
        <v>567.41</v>
      </c>
      <c r="E265" s="57">
        <v>492.8</v>
      </c>
      <c r="F265" s="42">
        <f t="shared" si="18"/>
        <v>74.609999999999957</v>
      </c>
      <c r="G265" s="61">
        <f t="shared" si="19"/>
        <v>0.13149221903033073</v>
      </c>
      <c r="I265" s="7"/>
    </row>
    <row r="266" spans="1:9" x14ac:dyDescent="0.25">
      <c r="A266" s="31"/>
      <c r="B266" s="40" t="s">
        <v>16</v>
      </c>
      <c r="C266" s="41">
        <v>2011</v>
      </c>
      <c r="D266" s="57">
        <v>571.08000000000004</v>
      </c>
      <c r="E266" s="57">
        <v>492.8</v>
      </c>
      <c r="F266" s="42">
        <f t="shared" si="18"/>
        <v>78.28000000000003</v>
      </c>
      <c r="G266" s="61">
        <f t="shared" si="19"/>
        <v>0.13707361490509215</v>
      </c>
      <c r="I266" s="7"/>
    </row>
    <row r="267" spans="1:9" x14ac:dyDescent="0.25">
      <c r="A267" s="31"/>
      <c r="B267" s="40" t="s">
        <v>6</v>
      </c>
      <c r="C267" s="41">
        <v>2011</v>
      </c>
      <c r="D267" s="57">
        <v>572.35</v>
      </c>
      <c r="E267" s="57">
        <v>492.8</v>
      </c>
      <c r="F267" s="42">
        <f>+D267-E267</f>
        <v>79.550000000000011</v>
      </c>
      <c r="G267" s="61">
        <f>+F267/D267</f>
        <v>0.13898838123525817</v>
      </c>
      <c r="I267" s="7"/>
    </row>
    <row r="268" spans="1:9" x14ac:dyDescent="0.25">
      <c r="A268" s="31"/>
      <c r="B268" s="40" t="s">
        <v>17</v>
      </c>
      <c r="C268" s="41">
        <v>2011</v>
      </c>
      <c r="D268" s="57">
        <v>578.04</v>
      </c>
      <c r="E268" s="57">
        <v>492.8</v>
      </c>
      <c r="F268" s="42">
        <f>+D268-E268</f>
        <v>85.239999999999952</v>
      </c>
      <c r="G268" s="61">
        <f>+F268/D268</f>
        <v>0.14746384333264126</v>
      </c>
      <c r="I268" s="7"/>
    </row>
    <row r="269" spans="1:9" x14ac:dyDescent="0.25">
      <c r="A269" s="31"/>
      <c r="B269" s="40" t="s">
        <v>9</v>
      </c>
      <c r="C269" s="41">
        <v>2012</v>
      </c>
      <c r="D269" s="57">
        <v>581.21</v>
      </c>
      <c r="E269" s="57">
        <v>545.07000000000005</v>
      </c>
      <c r="F269" s="42">
        <f>+D269-E269</f>
        <v>36.139999999999986</v>
      </c>
      <c r="G269" s="61">
        <f>+F269/D269</f>
        <v>6.2180623182670605E-2</v>
      </c>
      <c r="I269" s="7"/>
    </row>
    <row r="270" spans="1:9" x14ac:dyDescent="0.25">
      <c r="A270" s="31"/>
      <c r="B270" s="40" t="s">
        <v>22</v>
      </c>
      <c r="C270" s="41">
        <v>2012</v>
      </c>
      <c r="D270" s="57">
        <v>583.27</v>
      </c>
      <c r="E270" s="57">
        <v>545.07000000000005</v>
      </c>
      <c r="F270" s="42">
        <f>+D270-E270</f>
        <v>38.199999999999932</v>
      </c>
      <c r="G270" s="61">
        <f>+F270/D270</f>
        <v>6.5492824935278568E-2</v>
      </c>
      <c r="I270" s="7"/>
    </row>
    <row r="271" spans="1:9" x14ac:dyDescent="0.25">
      <c r="A271" s="31"/>
      <c r="B271" s="40" t="s">
        <v>10</v>
      </c>
      <c r="C271" s="41">
        <v>2012</v>
      </c>
      <c r="D271" s="57">
        <v>587.36</v>
      </c>
      <c r="E271" s="57">
        <v>545.07000000000005</v>
      </c>
      <c r="F271" s="42">
        <f>+D271-E271</f>
        <v>42.289999999999964</v>
      </c>
      <c r="G271" s="61">
        <f>+F271/D271</f>
        <v>7.2000136202669512E-2</v>
      </c>
      <c r="I271" s="7"/>
    </row>
    <row r="272" spans="1:9" x14ac:dyDescent="0.25">
      <c r="A272" s="31"/>
      <c r="B272" s="40" t="s">
        <v>21</v>
      </c>
      <c r="C272" s="41">
        <v>2012</v>
      </c>
      <c r="D272" s="57">
        <v>588.48</v>
      </c>
      <c r="E272" s="57">
        <v>545.07000000000005</v>
      </c>
      <c r="F272" s="42">
        <f t="shared" si="18"/>
        <v>43.409999999999968</v>
      </c>
      <c r="G272" s="61">
        <f t="shared" si="19"/>
        <v>7.3766313213703041E-2</v>
      </c>
      <c r="I272" s="7"/>
    </row>
    <row r="273" spans="1:9" x14ac:dyDescent="0.25">
      <c r="A273" s="31"/>
      <c r="B273" s="40" t="s">
        <v>15</v>
      </c>
      <c r="C273" s="41">
        <v>2012</v>
      </c>
      <c r="D273" s="57">
        <v>584.71</v>
      </c>
      <c r="E273" s="57">
        <v>545.07000000000005</v>
      </c>
      <c r="F273" s="42">
        <f t="shared" si="18"/>
        <v>39.639999999999986</v>
      </c>
      <c r="G273" s="61">
        <f>+F273/D273</f>
        <v>6.7794291187084174E-2</v>
      </c>
      <c r="I273" s="7"/>
    </row>
    <row r="274" spans="1:9" x14ac:dyDescent="0.25">
      <c r="A274" s="31"/>
      <c r="B274" s="40" t="s">
        <v>12</v>
      </c>
      <c r="C274" s="41">
        <v>2012</v>
      </c>
      <c r="D274" s="57">
        <v>586.17999999999995</v>
      </c>
      <c r="E274" s="57">
        <v>545.07000000000005</v>
      </c>
      <c r="F274" s="42">
        <f t="shared" si="18"/>
        <v>41.1099999999999</v>
      </c>
      <c r="G274" s="61">
        <f>+F274/D274</f>
        <v>7.0132041352485422E-2</v>
      </c>
      <c r="I274" s="7"/>
    </row>
    <row r="275" spans="1:9" x14ac:dyDescent="0.25">
      <c r="A275" s="31"/>
      <c r="B275" s="40" t="s">
        <v>7</v>
      </c>
      <c r="C275" s="41">
        <v>2012</v>
      </c>
      <c r="D275" s="57">
        <v>585.80999999999995</v>
      </c>
      <c r="E275" s="57">
        <v>545.07000000000005</v>
      </c>
      <c r="F275" s="42">
        <f t="shared" si="18"/>
        <v>40.739999999999895</v>
      </c>
      <c r="G275" s="61">
        <f>+F275/D275</f>
        <v>6.9544732933886244E-2</v>
      </c>
      <c r="I275" s="7"/>
    </row>
    <row r="276" spans="1:9" x14ac:dyDescent="0.25">
      <c r="A276" s="31"/>
      <c r="B276" s="40" t="s">
        <v>11</v>
      </c>
      <c r="C276" s="41">
        <v>2012</v>
      </c>
      <c r="D276" s="57">
        <v>587.86</v>
      </c>
      <c r="E276" s="57">
        <v>545.07000000000005</v>
      </c>
      <c r="F276" s="42">
        <f t="shared" si="18"/>
        <v>42.789999999999964</v>
      </c>
      <c r="G276" s="61">
        <f>+F276/D276</f>
        <v>7.2789439662504618E-2</v>
      </c>
      <c r="I276" s="7"/>
    </row>
    <row r="277" spans="1:9" x14ac:dyDescent="0.25">
      <c r="A277" s="31"/>
      <c r="B277" s="40" t="s">
        <v>14</v>
      </c>
      <c r="C277" s="41">
        <v>2012</v>
      </c>
      <c r="D277" s="57">
        <v>594.05999999999995</v>
      </c>
      <c r="E277" s="57">
        <v>545.07000000000005</v>
      </c>
      <c r="F277" s="42">
        <f t="shared" si="18"/>
        <v>48.989999999999895</v>
      </c>
      <c r="G277" s="61">
        <f>+F277/D277</f>
        <v>8.2466417533582304E-2</v>
      </c>
      <c r="I277" s="7"/>
    </row>
    <row r="278" spans="1:9" x14ac:dyDescent="0.25">
      <c r="A278" s="31"/>
      <c r="B278" s="40" t="s">
        <v>16</v>
      </c>
      <c r="C278" s="41">
        <v>2012</v>
      </c>
      <c r="D278" s="57">
        <v>595.44000000000005</v>
      </c>
      <c r="E278" s="57">
        <v>545.07000000000005</v>
      </c>
      <c r="F278" s="42">
        <f t="shared" si="18"/>
        <v>50.370000000000005</v>
      </c>
      <c r="G278" s="61">
        <f t="shared" ref="G278:G336" si="20">+F278/D278</f>
        <v>8.459290608625554E-2</v>
      </c>
      <c r="I278" s="7"/>
    </row>
    <row r="279" spans="1:9" x14ac:dyDescent="0.25">
      <c r="A279" s="31"/>
      <c r="B279" s="40" t="s">
        <v>6</v>
      </c>
      <c r="C279" s="41">
        <v>2012</v>
      </c>
      <c r="D279" s="57">
        <v>596.41999999999996</v>
      </c>
      <c r="E279" s="57">
        <v>545.07000000000005</v>
      </c>
      <c r="F279" s="42">
        <f t="shared" si="18"/>
        <v>51.349999999999909</v>
      </c>
      <c r="G279" s="61">
        <f t="shared" si="20"/>
        <v>8.6097045706045927E-2</v>
      </c>
      <c r="I279" s="7"/>
    </row>
    <row r="280" spans="1:9" x14ac:dyDescent="0.25">
      <c r="A280" s="31"/>
      <c r="B280" s="40" t="s">
        <v>17</v>
      </c>
      <c r="C280" s="41">
        <v>2012</v>
      </c>
      <c r="D280" s="57">
        <v>595.70000000000005</v>
      </c>
      <c r="E280" s="57">
        <v>545.07000000000005</v>
      </c>
      <c r="F280" s="42">
        <f t="shared" si="18"/>
        <v>50.629999999999995</v>
      </c>
      <c r="G280" s="61">
        <f t="shared" si="20"/>
        <v>8.499244586201106E-2</v>
      </c>
      <c r="I280" s="7"/>
    </row>
    <row r="281" spans="1:9" x14ac:dyDescent="0.25">
      <c r="A281" s="31"/>
      <c r="B281" s="40" t="s">
        <v>9</v>
      </c>
      <c r="C281" s="41">
        <v>2013</v>
      </c>
      <c r="D281" s="57">
        <v>601.61</v>
      </c>
      <c r="E281" s="57">
        <v>593.6</v>
      </c>
      <c r="F281" s="42">
        <f t="shared" si="18"/>
        <v>8.0099999999999909</v>
      </c>
      <c r="G281" s="61">
        <f t="shared" si="20"/>
        <v>1.3314273366466633E-2</v>
      </c>
      <c r="I281" s="7"/>
    </row>
    <row r="282" spans="1:9" x14ac:dyDescent="0.25">
      <c r="A282" s="31"/>
      <c r="B282" s="40" t="s">
        <v>22</v>
      </c>
      <c r="C282" s="41">
        <v>2013</v>
      </c>
      <c r="D282" s="57">
        <v>602.07000000000005</v>
      </c>
      <c r="E282" s="57">
        <v>593.6</v>
      </c>
      <c r="F282" s="42">
        <f t="shared" si="18"/>
        <v>8.4700000000000273</v>
      </c>
      <c r="G282" s="61">
        <f t="shared" si="20"/>
        <v>1.406813161260323E-2</v>
      </c>
      <c r="I282" s="7"/>
    </row>
    <row r="283" spans="1:9" x14ac:dyDescent="0.25">
      <c r="A283" s="31"/>
      <c r="B283" s="40" t="s">
        <v>10</v>
      </c>
      <c r="C283" s="41">
        <v>2013</v>
      </c>
      <c r="D283" s="57">
        <v>604.25</v>
      </c>
      <c r="E283" s="57">
        <v>593.6</v>
      </c>
      <c r="F283" s="42">
        <v>10.66</v>
      </c>
      <c r="G283" s="61">
        <f t="shared" si="20"/>
        <v>1.7641704592470005E-2</v>
      </c>
      <c r="I283" s="7"/>
    </row>
    <row r="284" spans="1:9" x14ac:dyDescent="0.25">
      <c r="A284" s="31"/>
      <c r="B284" s="40" t="s">
        <v>21</v>
      </c>
      <c r="C284" s="41">
        <v>2013</v>
      </c>
      <c r="D284" s="57">
        <v>605.52</v>
      </c>
      <c r="E284" s="57">
        <v>593.6</v>
      </c>
      <c r="F284" s="42">
        <f t="shared" ref="F284:F307" si="21">+D284-E284</f>
        <v>11.919999999999959</v>
      </c>
      <c r="G284" s="61">
        <f t="shared" si="20"/>
        <v>1.9685559519090963E-2</v>
      </c>
      <c r="I284" s="7"/>
    </row>
    <row r="285" spans="1:9" x14ac:dyDescent="0.25">
      <c r="A285" s="31"/>
      <c r="B285" s="40" t="s">
        <v>15</v>
      </c>
      <c r="C285" s="41">
        <v>2013</v>
      </c>
      <c r="D285" s="57">
        <v>605.91999999999996</v>
      </c>
      <c r="E285" s="57">
        <v>593.6</v>
      </c>
      <c r="F285" s="42">
        <f t="shared" si="21"/>
        <v>12.319999999999936</v>
      </c>
      <c r="G285" s="61">
        <f t="shared" si="20"/>
        <v>2.0332717190388067E-2</v>
      </c>
      <c r="I285" s="7"/>
    </row>
    <row r="286" spans="1:9" x14ac:dyDescent="0.25">
      <c r="A286" s="31"/>
      <c r="B286" s="40" t="s">
        <v>12</v>
      </c>
      <c r="C286" s="41">
        <v>2013</v>
      </c>
      <c r="D286" s="57">
        <v>606.29</v>
      </c>
      <c r="E286" s="57">
        <v>593.6</v>
      </c>
      <c r="F286" s="42">
        <f t="shared" si="21"/>
        <v>12.689999999999941</v>
      </c>
      <c r="G286" s="61">
        <f t="shared" si="20"/>
        <v>2.0930577776311569E-2</v>
      </c>
      <c r="I286" s="7"/>
    </row>
    <row r="287" spans="1:9" x14ac:dyDescent="0.25">
      <c r="A287" s="31"/>
      <c r="B287" s="40" t="s">
        <v>7</v>
      </c>
      <c r="C287" s="41">
        <v>2013</v>
      </c>
      <c r="D287" s="57">
        <v>606.48</v>
      </c>
      <c r="E287" s="57">
        <v>593.6</v>
      </c>
      <c r="F287" s="42">
        <f t="shared" si="21"/>
        <v>12.879999999999995</v>
      </c>
      <c r="G287" s="61">
        <f t="shared" si="20"/>
        <v>2.1237303785780232E-2</v>
      </c>
      <c r="I287" s="7"/>
    </row>
    <row r="288" spans="1:9" x14ac:dyDescent="0.25">
      <c r="A288" s="31"/>
      <c r="B288" s="40" t="s">
        <v>11</v>
      </c>
      <c r="C288" s="41">
        <v>2013</v>
      </c>
      <c r="D288" s="57">
        <v>609.57000000000005</v>
      </c>
      <c r="E288" s="57">
        <v>593.6</v>
      </c>
      <c r="F288" s="42">
        <f t="shared" si="21"/>
        <v>15.970000000000027</v>
      </c>
      <c r="G288" s="61">
        <f t="shared" si="20"/>
        <v>2.6198795872500329E-2</v>
      </c>
      <c r="I288" s="7"/>
    </row>
    <row r="289" spans="1:11" x14ac:dyDescent="0.25">
      <c r="A289" s="31"/>
      <c r="B289" s="40" t="s">
        <v>14</v>
      </c>
      <c r="C289" s="41">
        <v>2013</v>
      </c>
      <c r="D289" s="57">
        <v>612.04999999999995</v>
      </c>
      <c r="E289" s="57">
        <v>593.6</v>
      </c>
      <c r="F289" s="42">
        <f t="shared" si="21"/>
        <v>18.449999999999932</v>
      </c>
      <c r="G289" s="61">
        <f t="shared" si="20"/>
        <v>3.0144596029736022E-2</v>
      </c>
      <c r="I289" s="7"/>
    </row>
    <row r="290" spans="1:11" x14ac:dyDescent="0.25">
      <c r="A290" s="31"/>
      <c r="B290" s="40" t="s">
        <v>16</v>
      </c>
      <c r="C290" s="41">
        <v>2013</v>
      </c>
      <c r="D290" s="57">
        <v>614.01</v>
      </c>
      <c r="E290" s="57">
        <v>593.6</v>
      </c>
      <c r="F290" s="42">
        <f t="shared" si="21"/>
        <v>20.409999999999968</v>
      </c>
      <c r="G290" s="61">
        <f t="shared" si="20"/>
        <v>3.3240500969039542E-2</v>
      </c>
      <c r="I290" s="7"/>
    </row>
    <row r="291" spans="1:11" x14ac:dyDescent="0.25">
      <c r="A291" s="31"/>
      <c r="B291" s="40" t="s">
        <v>6</v>
      </c>
      <c r="C291" s="41">
        <v>2013</v>
      </c>
      <c r="D291" s="57">
        <v>617.54</v>
      </c>
      <c r="E291" s="57">
        <v>593.6</v>
      </c>
      <c r="F291" s="42">
        <f t="shared" si="21"/>
        <v>23.939999999999941</v>
      </c>
      <c r="G291" s="61">
        <f t="shared" si="20"/>
        <v>3.876671956472446E-2</v>
      </c>
      <c r="I291" s="7"/>
    </row>
    <row r="292" spans="1:11" x14ac:dyDescent="0.25">
      <c r="A292" s="31"/>
      <c r="B292" s="40" t="s">
        <v>17</v>
      </c>
      <c r="C292" s="41">
        <v>2013</v>
      </c>
      <c r="D292" s="57">
        <v>620.86</v>
      </c>
      <c r="E292" s="57">
        <v>593.6</v>
      </c>
      <c r="F292" s="42">
        <f t="shared" si="21"/>
        <v>27.259999999999991</v>
      </c>
      <c r="G292" s="61">
        <f t="shared" si="20"/>
        <v>4.3906838900879409E-2</v>
      </c>
      <c r="I292" s="7"/>
    </row>
    <row r="293" spans="1:11" x14ac:dyDescent="0.25">
      <c r="A293" s="31"/>
      <c r="B293" s="40" t="s">
        <v>9</v>
      </c>
      <c r="C293" s="41">
        <v>2014</v>
      </c>
      <c r="D293" s="57">
        <v>628.27</v>
      </c>
      <c r="E293" s="57">
        <v>634.66999999999996</v>
      </c>
      <c r="F293" s="42">
        <f t="shared" si="21"/>
        <v>-6.3999999999999773</v>
      </c>
      <c r="G293" s="61">
        <f t="shared" si="20"/>
        <v>-1.0186703169019653E-2</v>
      </c>
      <c r="I293" s="7"/>
    </row>
    <row r="294" spans="1:11" x14ac:dyDescent="0.25">
      <c r="A294" s="31"/>
      <c r="B294" s="40" t="s">
        <v>22</v>
      </c>
      <c r="C294" s="41">
        <v>2014</v>
      </c>
      <c r="D294" s="57">
        <v>628.22</v>
      </c>
      <c r="E294" s="57">
        <v>634.66999999999996</v>
      </c>
      <c r="F294" s="42">
        <f t="shared" si="21"/>
        <v>-6.4499999999999318</v>
      </c>
      <c r="G294" s="61">
        <f t="shared" si="20"/>
        <v>-1.0267103880805978E-2</v>
      </c>
      <c r="I294" s="7"/>
    </row>
    <row r="295" spans="1:11" x14ac:dyDescent="0.25">
      <c r="A295" s="31"/>
      <c r="B295" s="40" t="s">
        <v>10</v>
      </c>
      <c r="C295" s="41">
        <v>2014</v>
      </c>
      <c r="D295" s="57">
        <v>632.19000000000005</v>
      </c>
      <c r="E295" s="57">
        <v>634.66999999999996</v>
      </c>
      <c r="F295" s="42">
        <f t="shared" si="21"/>
        <v>-2.4799999999999045</v>
      </c>
      <c r="G295" s="61">
        <f t="shared" si="20"/>
        <v>-3.9228712886947032E-3</v>
      </c>
      <c r="I295" s="7"/>
    </row>
    <row r="296" spans="1:11" x14ac:dyDescent="0.25">
      <c r="A296" s="31"/>
      <c r="B296" s="40" t="s">
        <v>21</v>
      </c>
      <c r="C296" s="41">
        <v>2014</v>
      </c>
      <c r="D296" s="57">
        <v>633.61</v>
      </c>
      <c r="E296" s="57">
        <v>634.66999999999996</v>
      </c>
      <c r="F296" s="42">
        <f t="shared" si="21"/>
        <v>-1.0599999999999454</v>
      </c>
      <c r="G296" s="61">
        <f t="shared" si="20"/>
        <v>-1.6729533940435684E-3</v>
      </c>
      <c r="I296" s="7"/>
    </row>
    <row r="297" spans="1:11" x14ac:dyDescent="0.25">
      <c r="A297" s="31"/>
      <c r="B297" s="40" t="s">
        <v>15</v>
      </c>
      <c r="C297" s="41">
        <v>2014</v>
      </c>
      <c r="D297" s="57">
        <v>634.27</v>
      </c>
      <c r="E297" s="57">
        <v>634.66999999999996</v>
      </c>
      <c r="F297" s="42">
        <f t="shared" si="21"/>
        <v>-0.39999999999997726</v>
      </c>
      <c r="G297" s="61">
        <f t="shared" si="20"/>
        <v>-6.3064625474951879E-4</v>
      </c>
      <c r="I297" s="7"/>
    </row>
    <row r="298" spans="1:11" x14ac:dyDescent="0.25">
      <c r="A298" s="31"/>
      <c r="B298" s="40" t="s">
        <v>12</v>
      </c>
      <c r="C298" s="41">
        <v>2014</v>
      </c>
      <c r="D298" s="57">
        <v>634.66521373211003</v>
      </c>
      <c r="E298" s="57">
        <v>634.67000095725405</v>
      </c>
      <c r="F298" s="42">
        <f t="shared" si="21"/>
        <v>-4.7872251440139735E-3</v>
      </c>
      <c r="G298" s="61">
        <f t="shared" si="20"/>
        <v>-7.5429140284260871E-6</v>
      </c>
      <c r="H298" s="9"/>
      <c r="I298" s="7"/>
    </row>
    <row r="299" spans="1:11" x14ac:dyDescent="0.25">
      <c r="A299" s="31"/>
      <c r="B299" s="40" t="s">
        <v>7</v>
      </c>
      <c r="C299" s="41">
        <v>2014</v>
      </c>
      <c r="D299" s="57">
        <v>637.00276219663294</v>
      </c>
      <c r="E299" s="57">
        <v>634.66953344756098</v>
      </c>
      <c r="F299" s="42">
        <f t="shared" si="21"/>
        <v>2.3332287490719636</v>
      </c>
      <c r="G299" s="61">
        <f t="shared" si="20"/>
        <v>3.6628235975399615E-3</v>
      </c>
      <c r="H299" s="9"/>
      <c r="I299" s="7"/>
      <c r="J299" s="7"/>
      <c r="K299" s="9"/>
    </row>
    <row r="300" spans="1:11" x14ac:dyDescent="0.25">
      <c r="A300" s="31"/>
      <c r="B300" s="40" t="s">
        <v>11</v>
      </c>
      <c r="C300" s="41">
        <v>2014</v>
      </c>
      <c r="D300" s="57">
        <v>638.06000760908603</v>
      </c>
      <c r="E300" s="57">
        <v>634.66932199847895</v>
      </c>
      <c r="F300" s="42">
        <f t="shared" si="21"/>
        <v>3.3906856106070791</v>
      </c>
      <c r="G300" s="61">
        <f t="shared" si="20"/>
        <v>5.3140544308873487E-3</v>
      </c>
      <c r="H300" s="9"/>
      <c r="I300" s="7"/>
    </row>
    <row r="301" spans="1:11" x14ac:dyDescent="0.25">
      <c r="A301" s="31"/>
      <c r="B301" s="40" t="s">
        <v>14</v>
      </c>
      <c r="C301" s="41">
        <v>2014</v>
      </c>
      <c r="D301" s="57">
        <v>641.19993363635797</v>
      </c>
      <c r="E301" s="57">
        <v>634.66869401327301</v>
      </c>
      <c r="F301" s="42">
        <f t="shared" si="21"/>
        <v>6.5312396230849572</v>
      </c>
      <c r="G301" s="61">
        <f t="shared" si="20"/>
        <v>1.0185964284252409E-2</v>
      </c>
      <c r="H301" s="9"/>
      <c r="I301" s="7"/>
    </row>
    <row r="302" spans="1:11" x14ac:dyDescent="0.25">
      <c r="A302" s="31"/>
      <c r="B302" s="40" t="s">
        <v>16</v>
      </c>
      <c r="C302" s="41">
        <v>2014</v>
      </c>
      <c r="D302" s="57">
        <v>642.85189975278695</v>
      </c>
      <c r="E302" s="57">
        <v>634.66869401327301</v>
      </c>
      <c r="F302" s="42">
        <f t="shared" si="21"/>
        <v>8.1832057395139373</v>
      </c>
      <c r="G302" s="61">
        <f t="shared" si="20"/>
        <v>1.2729534971679861E-2</v>
      </c>
      <c r="H302" s="9"/>
      <c r="I302" s="7"/>
    </row>
    <row r="303" spans="1:11" x14ac:dyDescent="0.25">
      <c r="A303" s="31"/>
      <c r="B303" s="40" t="s">
        <v>6</v>
      </c>
      <c r="C303" s="41">
        <v>2014</v>
      </c>
      <c r="D303" s="57">
        <v>644.743784726586</v>
      </c>
      <c r="E303" s="57">
        <v>634.667985243055</v>
      </c>
      <c r="F303" s="42">
        <f t="shared" si="21"/>
        <v>10.075799483531</v>
      </c>
      <c r="G303" s="61">
        <f t="shared" si="20"/>
        <v>1.5627602347192543E-2</v>
      </c>
      <c r="H303" s="9"/>
      <c r="I303" s="7"/>
    </row>
    <row r="304" spans="1:11" x14ac:dyDescent="0.25">
      <c r="A304" s="31"/>
      <c r="B304" s="40" t="s">
        <v>17</v>
      </c>
      <c r="C304" s="41">
        <v>2014</v>
      </c>
      <c r="D304" s="57">
        <v>646.30185233230804</v>
      </c>
      <c r="E304" s="57">
        <v>634.66767362953306</v>
      </c>
      <c r="F304" s="42">
        <f t="shared" si="21"/>
        <v>11.634178702774989</v>
      </c>
      <c r="G304" s="61">
        <f t="shared" si="20"/>
        <v>1.8001153270396416E-2</v>
      </c>
      <c r="H304" s="9"/>
      <c r="I304" s="7"/>
    </row>
    <row r="305" spans="1:12" x14ac:dyDescent="0.25">
      <c r="A305" s="31"/>
      <c r="B305" s="40" t="s">
        <v>40</v>
      </c>
      <c r="C305" s="41">
        <v>2015</v>
      </c>
      <c r="D305" s="57">
        <v>653.21177286705642</v>
      </c>
      <c r="E305" s="57">
        <v>660.80151764542677</v>
      </c>
      <c r="F305" s="42">
        <f t="shared" si="21"/>
        <v>-7.5897447783703456</v>
      </c>
      <c r="G305" s="61">
        <f t="shared" si="20"/>
        <v>-1.1619118169070465E-2</v>
      </c>
      <c r="H305" s="9"/>
      <c r="I305" s="7"/>
    </row>
    <row r="306" spans="1:12" x14ac:dyDescent="0.25">
      <c r="A306" s="31"/>
      <c r="B306" s="40" t="s">
        <v>22</v>
      </c>
      <c r="C306" s="41">
        <v>2015</v>
      </c>
      <c r="D306" s="57">
        <v>654.47842694509916</v>
      </c>
      <c r="E306" s="57">
        <v>660.80126431461099</v>
      </c>
      <c r="F306" s="42">
        <f t="shared" si="21"/>
        <v>-6.3228373695118307</v>
      </c>
      <c r="G306" s="61">
        <f t="shared" si="20"/>
        <v>-9.6608797313990323E-3</v>
      </c>
      <c r="H306" s="9"/>
      <c r="I306" s="7"/>
    </row>
    <row r="307" spans="1:12" x14ac:dyDescent="0.25">
      <c r="A307" s="31"/>
      <c r="B307" s="40" t="s">
        <v>10</v>
      </c>
      <c r="C307" s="41">
        <v>2015</v>
      </c>
      <c r="D307" s="57">
        <v>657.68311090609166</v>
      </c>
      <c r="E307" s="57">
        <v>660.80062337781874</v>
      </c>
      <c r="F307" s="42">
        <f t="shared" si="21"/>
        <v>-3.1175124717270819</v>
      </c>
      <c r="G307" s="61">
        <f t="shared" si="20"/>
        <v>-4.7401437258014385E-3</v>
      </c>
      <c r="H307" s="9"/>
      <c r="I307" s="7"/>
    </row>
    <row r="308" spans="1:12" x14ac:dyDescent="0.25">
      <c r="A308" s="31"/>
      <c r="B308" s="40" t="s">
        <v>21</v>
      </c>
      <c r="C308" s="41">
        <v>2015</v>
      </c>
      <c r="D308" s="57">
        <v>660.85442398344003</v>
      </c>
      <c r="E308" s="57">
        <v>660.79998911520295</v>
      </c>
      <c r="F308" s="42">
        <f>+D308-E308</f>
        <v>5.4434868237080991E-2</v>
      </c>
      <c r="G308" s="61">
        <f t="shared" si="20"/>
        <v>8.237043781739902E-5</v>
      </c>
      <c r="H308" s="9"/>
      <c r="I308" s="7"/>
    </row>
    <row r="309" spans="1:12" x14ac:dyDescent="0.25">
      <c r="A309" s="31"/>
      <c r="B309" s="40" t="s">
        <v>15</v>
      </c>
      <c r="C309" s="41">
        <v>2015</v>
      </c>
      <c r="D309" s="57">
        <v>665.09148584932097</v>
      </c>
      <c r="E309" s="57">
        <v>660.79914170282996</v>
      </c>
      <c r="F309" s="42">
        <f>+D309-E309</f>
        <v>4.2923441464910184</v>
      </c>
      <c r="G309" s="61">
        <f t="shared" si="20"/>
        <v>6.4537649899542773E-3</v>
      </c>
      <c r="H309" s="9"/>
      <c r="I309" s="7"/>
    </row>
    <row r="310" spans="1:12" x14ac:dyDescent="0.25">
      <c r="A310" s="31"/>
      <c r="B310" s="40" t="s">
        <v>12</v>
      </c>
      <c r="C310" s="41">
        <v>2015</v>
      </c>
      <c r="D310" s="57">
        <v>666.91622897216303</v>
      </c>
      <c r="E310" s="57">
        <v>660.79877675420505</v>
      </c>
      <c r="F310" s="42">
        <f>+D310-E310</f>
        <v>6.1174522179579753</v>
      </c>
      <c r="G310" s="61">
        <f t="shared" si="20"/>
        <v>9.1727445700130299E-3</v>
      </c>
      <c r="H310" s="9"/>
      <c r="I310" s="7"/>
    </row>
    <row r="311" spans="1:12" x14ac:dyDescent="0.25">
      <c r="A311" s="31"/>
      <c r="B311" s="40" t="s">
        <v>7</v>
      </c>
      <c r="C311" s="41">
        <v>2015</v>
      </c>
      <c r="D311" s="57">
        <v>668.56761273970801</v>
      </c>
      <c r="E311" s="57">
        <v>660.79844647745199</v>
      </c>
      <c r="F311" s="42">
        <f>+D311-E311</f>
        <v>7.7691662622560216</v>
      </c>
      <c r="G311" s="61">
        <f t="shared" si="20"/>
        <v>1.1620614152125813E-2</v>
      </c>
      <c r="H311" s="9"/>
      <c r="I311" s="7"/>
    </row>
    <row r="312" spans="1:12" x14ac:dyDescent="0.25">
      <c r="A312" s="31"/>
      <c r="B312" s="40" t="s">
        <v>11</v>
      </c>
      <c r="C312" s="41">
        <v>2015</v>
      </c>
      <c r="D312" s="57">
        <v>668.95336742032543</v>
      </c>
      <c r="E312" s="57">
        <v>660.79836932651597</v>
      </c>
      <c r="F312" s="42">
        <f>+D312-E312</f>
        <v>8.1549980938094677</v>
      </c>
      <c r="G312" s="61">
        <f t="shared" si="20"/>
        <v>1.2190682476504245E-2</v>
      </c>
      <c r="H312" s="9"/>
      <c r="I312" s="7"/>
    </row>
    <row r="313" spans="1:12" x14ac:dyDescent="0.25">
      <c r="A313" s="31"/>
      <c r="B313" s="40" t="s">
        <v>14</v>
      </c>
      <c r="C313" s="41">
        <v>2015</v>
      </c>
      <c r="D313" s="57">
        <v>670.53172183999231</v>
      </c>
      <c r="E313" s="57">
        <v>660.79805365563232</v>
      </c>
      <c r="F313" s="42">
        <f t="shared" ref="F313:F337" si="22">+D313-E313</f>
        <v>9.733668184359999</v>
      </c>
      <c r="G313" s="61">
        <f t="shared" si="20"/>
        <v>1.4516342579065521E-2</v>
      </c>
      <c r="H313" s="9"/>
      <c r="I313" s="7"/>
    </row>
    <row r="314" spans="1:12" x14ac:dyDescent="0.25">
      <c r="A314" s="31"/>
      <c r="B314" s="40" t="s">
        <v>16</v>
      </c>
      <c r="C314" s="41">
        <v>2015</v>
      </c>
      <c r="D314" s="57">
        <v>669.88001368721109</v>
      </c>
      <c r="E314" s="57">
        <v>660.79818399726332</v>
      </c>
      <c r="F314" s="42">
        <f t="shared" si="22"/>
        <v>9.0818296899477673</v>
      </c>
      <c r="G314" s="61">
        <f t="shared" si="20"/>
        <v>1.3557397600144511E-2</v>
      </c>
      <c r="H314" s="9"/>
      <c r="I314" s="7"/>
    </row>
    <row r="315" spans="1:12" x14ac:dyDescent="0.25">
      <c r="A315" s="31"/>
      <c r="B315" s="40" t="s">
        <v>6</v>
      </c>
      <c r="C315" s="41">
        <v>2015</v>
      </c>
      <c r="D315" s="57">
        <v>669.95852667474946</v>
      </c>
      <c r="E315" s="57">
        <v>660.79816829466529</v>
      </c>
      <c r="F315" s="42">
        <f t="shared" si="22"/>
        <v>9.1603583800841761</v>
      </c>
      <c r="G315" s="61">
        <f t="shared" si="20"/>
        <v>1.3673023053457358E-2</v>
      </c>
      <c r="H315" s="9"/>
      <c r="I315" s="7"/>
    </row>
    <row r="316" spans="1:12" x14ac:dyDescent="0.25">
      <c r="A316" s="31"/>
      <c r="B316" s="40" t="s">
        <v>17</v>
      </c>
      <c r="C316" s="41">
        <v>2015</v>
      </c>
      <c r="D316" s="57">
        <v>673.20670557520975</v>
      </c>
      <c r="E316" s="57">
        <v>660.797518658885</v>
      </c>
      <c r="F316" s="42">
        <f t="shared" si="22"/>
        <v>12.409186916324757</v>
      </c>
      <c r="G316" s="61">
        <f t="shared" si="20"/>
        <v>1.843295203918378E-2</v>
      </c>
      <c r="H316" s="9"/>
      <c r="I316" s="7"/>
    </row>
    <row r="317" spans="1:12" x14ac:dyDescent="0.25">
      <c r="A317" s="31"/>
      <c r="B317" s="40" t="s">
        <v>9</v>
      </c>
      <c r="C317" s="41">
        <v>2016</v>
      </c>
      <c r="D317" s="57">
        <v>675.92605969164504</v>
      </c>
      <c r="E317" s="57">
        <v>683.2014547880616</v>
      </c>
      <c r="F317" s="42">
        <f t="shared" si="22"/>
        <v>-7.2753950964165597</v>
      </c>
      <c r="G317" s="61">
        <f t="shared" si="20"/>
        <v>-1.0763596094720135E-2</v>
      </c>
      <c r="H317" s="10"/>
      <c r="I317" s="9"/>
      <c r="J317" s="7"/>
      <c r="K317" s="9"/>
      <c r="L317" s="11"/>
    </row>
    <row r="318" spans="1:12" x14ac:dyDescent="0.25">
      <c r="A318" s="31"/>
      <c r="B318" s="40" t="s">
        <v>22</v>
      </c>
      <c r="C318" s="41">
        <v>2016</v>
      </c>
      <c r="D318" s="57">
        <v>678.61219935624229</v>
      </c>
      <c r="E318" s="57">
        <v>683.2014547880616</v>
      </c>
      <c r="F318" s="42">
        <f t="shared" si="22"/>
        <v>-4.5892554318193106</v>
      </c>
      <c r="G318" s="61">
        <f t="shared" si="20"/>
        <v>-6.7627069424523395E-3</v>
      </c>
      <c r="H318" s="10"/>
      <c r="I318" s="9"/>
      <c r="J318" s="7"/>
      <c r="K318" s="9"/>
      <c r="L318" s="11"/>
    </row>
    <row r="319" spans="1:12" x14ac:dyDescent="0.25">
      <c r="A319" s="31"/>
      <c r="B319" s="40" t="s">
        <v>10</v>
      </c>
      <c r="C319" s="41">
        <v>2016</v>
      </c>
      <c r="D319" s="57">
        <v>680.7025610262682</v>
      </c>
      <c r="E319" s="57">
        <v>683.2004994877941</v>
      </c>
      <c r="F319" s="57">
        <f t="shared" si="22"/>
        <v>-2.497938461525905</v>
      </c>
      <c r="G319" s="61">
        <f t="shared" si="20"/>
        <v>-3.6696475150025326E-3</v>
      </c>
      <c r="H319" s="10"/>
      <c r="J319" s="7"/>
      <c r="K319" s="9"/>
      <c r="L319" s="11"/>
    </row>
    <row r="320" spans="1:12" x14ac:dyDescent="0.25">
      <c r="A320" s="31"/>
      <c r="B320" s="40" t="s">
        <v>21</v>
      </c>
      <c r="C320" s="41">
        <v>2016</v>
      </c>
      <c r="D320" s="57">
        <v>683.15855583403095</v>
      </c>
      <c r="E320" s="57">
        <v>683.20000828883292</v>
      </c>
      <c r="F320" s="57">
        <f t="shared" si="22"/>
        <v>-4.1452454801969907E-2</v>
      </c>
      <c r="G320" s="61">
        <f t="shared" si="20"/>
        <v>-6.0677648619013299E-5</v>
      </c>
      <c r="H320" s="10"/>
      <c r="J320" s="7"/>
      <c r="K320" s="9"/>
      <c r="L320" s="11"/>
    </row>
    <row r="321" spans="1:12" x14ac:dyDescent="0.25">
      <c r="A321" s="31"/>
      <c r="B321" s="40" t="s">
        <v>15</v>
      </c>
      <c r="C321" s="41">
        <v>2016</v>
      </c>
      <c r="D321" s="57">
        <v>686.73725467872077</v>
      </c>
      <c r="E321" s="57">
        <v>683.19929254906435</v>
      </c>
      <c r="F321" s="57">
        <f t="shared" si="22"/>
        <v>3.537962129656421</v>
      </c>
      <c r="G321" s="61">
        <f t="shared" si="20"/>
        <v>5.1518424339911497E-3</v>
      </c>
      <c r="H321" s="10"/>
      <c r="J321" s="7"/>
      <c r="K321" s="9"/>
      <c r="L321" s="11"/>
    </row>
    <row r="322" spans="1:12" x14ac:dyDescent="0.25">
      <c r="A322" s="31"/>
      <c r="B322" s="40" t="s">
        <v>12</v>
      </c>
      <c r="C322" s="41">
        <v>2016</v>
      </c>
      <c r="D322" s="57">
        <v>688.53090216595422</v>
      </c>
      <c r="E322" s="57">
        <v>683.19893381956695</v>
      </c>
      <c r="F322" s="57">
        <f t="shared" si="22"/>
        <v>5.3319683463872707</v>
      </c>
      <c r="G322" s="61">
        <f t="shared" si="20"/>
        <v>7.7439782726006464E-3</v>
      </c>
      <c r="H322" s="10"/>
      <c r="J322" s="7"/>
      <c r="K322" s="9"/>
      <c r="L322" s="11"/>
    </row>
    <row r="323" spans="1:12" x14ac:dyDescent="0.25">
      <c r="A323" s="31"/>
      <c r="B323" s="40" t="s">
        <v>7</v>
      </c>
      <c r="C323" s="41">
        <v>2016</v>
      </c>
      <c r="D323" s="57">
        <v>688.21030705592818</v>
      </c>
      <c r="E323" s="57">
        <v>683.19899793858906</v>
      </c>
      <c r="F323" s="57">
        <f t="shared" si="22"/>
        <v>5.011309117339124</v>
      </c>
      <c r="G323" s="61">
        <f t="shared" si="20"/>
        <v>7.2816536834166799E-3</v>
      </c>
      <c r="H323" s="10"/>
      <c r="J323" s="7"/>
      <c r="K323" s="9"/>
      <c r="L323" s="11"/>
    </row>
    <row r="324" spans="1:12" x14ac:dyDescent="0.25">
      <c r="A324" s="32"/>
      <c r="B324" s="40" t="s">
        <v>11</v>
      </c>
      <c r="C324" s="41">
        <v>2016</v>
      </c>
      <c r="D324" s="57">
        <v>689.10475556192046</v>
      </c>
      <c r="E324" s="57">
        <v>683.19881904888723</v>
      </c>
      <c r="F324" s="57">
        <f t="shared" si="22"/>
        <v>5.9059365130332253</v>
      </c>
      <c r="G324" s="61">
        <f t="shared" si="20"/>
        <v>8.570448056503855E-3</v>
      </c>
      <c r="H324" s="10"/>
      <c r="J324" s="7"/>
      <c r="K324" s="9"/>
      <c r="L324" s="11"/>
    </row>
    <row r="325" spans="1:12" x14ac:dyDescent="0.25">
      <c r="A325" s="31"/>
      <c r="B325" s="40" t="s">
        <v>14</v>
      </c>
      <c r="C325" s="41">
        <v>2016</v>
      </c>
      <c r="D325" s="57">
        <v>691.38085163385995</v>
      </c>
      <c r="E325" s="57">
        <v>683.19836382967355</v>
      </c>
      <c r="F325" s="57">
        <f t="shared" si="22"/>
        <v>8.182487804186394</v>
      </c>
      <c r="G325" s="61">
        <f t="shared" si="20"/>
        <v>1.1834993382951917E-2</v>
      </c>
      <c r="H325" s="10"/>
      <c r="J325" s="7"/>
      <c r="K325" s="9"/>
      <c r="L325" s="11"/>
    </row>
    <row r="326" spans="1:12" x14ac:dyDescent="0.25">
      <c r="A326" s="31"/>
      <c r="B326" s="40" t="s">
        <v>16</v>
      </c>
      <c r="C326" s="41">
        <v>2016</v>
      </c>
      <c r="D326" s="57">
        <v>691.88317339613513</v>
      </c>
      <c r="E326" s="57">
        <v>683.19826336532094</v>
      </c>
      <c r="F326" s="57">
        <f t="shared" si="22"/>
        <v>8.6849100308141942</v>
      </c>
      <c r="G326" s="61">
        <f t="shared" si="20"/>
        <v>1.2552567203194117E-2</v>
      </c>
      <c r="H326" s="10"/>
      <c r="J326" s="7"/>
      <c r="K326" s="9"/>
      <c r="L326" s="11"/>
    </row>
    <row r="327" spans="1:12" x14ac:dyDescent="0.25">
      <c r="A327" s="31"/>
      <c r="B327" s="40" t="s">
        <v>6</v>
      </c>
      <c r="C327" s="41">
        <v>2016</v>
      </c>
      <c r="D327" s="57">
        <v>692.55924753117495</v>
      </c>
      <c r="E327" s="57">
        <v>683.1981281504942</v>
      </c>
      <c r="F327" s="57">
        <f t="shared" si="22"/>
        <v>9.3611193806807478</v>
      </c>
      <c r="G327" s="61">
        <f t="shared" si="20"/>
        <v>1.3516705486283129E-2</v>
      </c>
      <c r="H327" s="10"/>
      <c r="J327" s="7"/>
      <c r="K327" s="9"/>
      <c r="L327" s="11"/>
    </row>
    <row r="328" spans="1:12" x14ac:dyDescent="0.25">
      <c r="A328" s="31"/>
      <c r="B328" s="40" t="s">
        <v>17</v>
      </c>
      <c r="C328" s="41">
        <v>2016</v>
      </c>
      <c r="D328" s="57">
        <v>700.96378550542613</v>
      </c>
      <c r="E328" s="57">
        <v>683.2</v>
      </c>
      <c r="F328" s="57">
        <f t="shared" si="22"/>
        <v>17.763785505426085</v>
      </c>
      <c r="G328" s="61">
        <f t="shared" si="20"/>
        <v>2.5341944723460436E-2</v>
      </c>
      <c r="H328" s="10"/>
      <c r="J328" s="7"/>
      <c r="K328" s="9"/>
      <c r="L328" s="11"/>
    </row>
    <row r="329" spans="1:12" x14ac:dyDescent="0.25">
      <c r="A329" s="31"/>
      <c r="B329" s="40" t="s">
        <v>9</v>
      </c>
      <c r="C329" s="41">
        <v>2017</v>
      </c>
      <c r="D329" s="57">
        <v>701.93484496945916</v>
      </c>
      <c r="E329" s="57">
        <v>699.99961303100588</v>
      </c>
      <c r="F329" s="57">
        <f t="shared" si="22"/>
        <v>1.9352319384532848</v>
      </c>
      <c r="G329" s="61">
        <f t="shared" si="20"/>
        <v>2.7569965393832042E-3</v>
      </c>
      <c r="H329" s="10"/>
      <c r="J329" s="7"/>
      <c r="K329" s="9"/>
      <c r="L329" s="11"/>
    </row>
    <row r="330" spans="1:12" x14ac:dyDescent="0.25">
      <c r="A330" s="31"/>
      <c r="B330" s="40" t="s">
        <v>22</v>
      </c>
      <c r="C330" s="41">
        <v>2017</v>
      </c>
      <c r="D330" s="57">
        <v>708.51866036903323</v>
      </c>
      <c r="E330" s="57">
        <v>699.99829626792621</v>
      </c>
      <c r="F330" s="57">
        <f t="shared" si="22"/>
        <v>8.5203641011070204</v>
      </c>
      <c r="G330" s="61">
        <f t="shared" si="20"/>
        <v>1.2025602962481148E-2</v>
      </c>
      <c r="H330" s="10"/>
      <c r="J330" s="7"/>
      <c r="K330" s="9"/>
      <c r="L330" s="11"/>
    </row>
    <row r="331" spans="1:12" x14ac:dyDescent="0.25">
      <c r="A331" s="31"/>
      <c r="B331" s="40" t="s">
        <v>10</v>
      </c>
      <c r="C331" s="41">
        <v>2017</v>
      </c>
      <c r="D331" s="57">
        <v>709.22483844470651</v>
      </c>
      <c r="E331" s="57">
        <v>699.99815503231105</v>
      </c>
      <c r="F331" s="57">
        <f t="shared" si="22"/>
        <v>9.2266834123954595</v>
      </c>
      <c r="G331" s="61">
        <f t="shared" si="20"/>
        <v>1.3009532255848654E-2</v>
      </c>
      <c r="H331" s="10"/>
      <c r="J331" s="7"/>
      <c r="K331" s="9"/>
      <c r="L331" s="11"/>
    </row>
    <row r="332" spans="1:12" x14ac:dyDescent="0.25">
      <c r="A332" s="31"/>
      <c r="B332" s="40" t="s">
        <v>21</v>
      </c>
      <c r="C332" s="41">
        <v>2017</v>
      </c>
      <c r="D332" s="57">
        <v>706.03964163558749</v>
      </c>
      <c r="E332" s="57">
        <v>699.99879207167271</v>
      </c>
      <c r="F332" s="57">
        <f t="shared" si="22"/>
        <v>6.0408495639147759</v>
      </c>
      <c r="G332" s="61">
        <f t="shared" si="20"/>
        <v>8.5559637273634505E-3</v>
      </c>
      <c r="H332" s="10"/>
      <c r="J332" s="7"/>
      <c r="K332" s="9"/>
      <c r="L332" s="11"/>
    </row>
    <row r="333" spans="1:12" x14ac:dyDescent="0.25">
      <c r="A333" s="31"/>
      <c r="B333" s="40" t="s">
        <v>15</v>
      </c>
      <c r="C333" s="41">
        <v>2017</v>
      </c>
      <c r="D333" s="57">
        <v>709.17734058402027</v>
      </c>
      <c r="E333" s="57">
        <v>699.99816453188282</v>
      </c>
      <c r="F333" s="57">
        <f t="shared" si="22"/>
        <v>9.1791760521374499</v>
      </c>
      <c r="G333" s="61">
        <f t="shared" si="20"/>
        <v>1.2943414188301947E-2</v>
      </c>
      <c r="H333" s="10"/>
      <c r="J333" s="7"/>
      <c r="K333" s="9"/>
      <c r="L333" s="11"/>
    </row>
    <row r="334" spans="1:12" x14ac:dyDescent="0.25">
      <c r="A334" s="12" t="s">
        <v>41</v>
      </c>
      <c r="B334" s="62" t="s">
        <v>12</v>
      </c>
      <c r="C334" s="63">
        <v>2017</v>
      </c>
      <c r="D334" s="64">
        <v>707.46553743994741</v>
      </c>
      <c r="E334" s="64">
        <v>699.9985068925123</v>
      </c>
      <c r="F334" s="64">
        <f t="shared" si="22"/>
        <v>7.4670305474351153</v>
      </c>
      <c r="G334" s="65">
        <f t="shared" si="20"/>
        <v>1.0554620899917613E-2</v>
      </c>
      <c r="H334" s="10"/>
      <c r="J334" s="7"/>
      <c r="K334" s="9"/>
      <c r="L334" s="11"/>
    </row>
    <row r="335" spans="1:12" x14ac:dyDescent="0.25">
      <c r="A335" s="13"/>
      <c r="B335" s="62" t="s">
        <v>7</v>
      </c>
      <c r="C335" s="63">
        <v>2017</v>
      </c>
      <c r="D335" s="64">
        <v>708.5131586302922</v>
      </c>
      <c r="E335" s="64">
        <v>699.99829736827428</v>
      </c>
      <c r="F335" s="64">
        <f t="shared" si="22"/>
        <v>8.5148612620179165</v>
      </c>
      <c r="G335" s="65">
        <f t="shared" si="20"/>
        <v>1.2017929601306161E-2</v>
      </c>
      <c r="H335" s="10"/>
      <c r="J335" s="7"/>
      <c r="K335" s="9"/>
      <c r="L335" s="11"/>
    </row>
    <row r="336" spans="1:12" x14ac:dyDescent="0.25">
      <c r="A336" s="13"/>
      <c r="B336" s="62" t="s">
        <v>11</v>
      </c>
      <c r="C336" s="63">
        <v>2017</v>
      </c>
      <c r="D336" s="64">
        <v>709.25321530232418</v>
      </c>
      <c r="E336" s="64">
        <v>699.99814935693996</v>
      </c>
      <c r="F336" s="64">
        <f t="shared" si="22"/>
        <v>9.2550659453842172</v>
      </c>
      <c r="G336" s="65">
        <f t="shared" si="20"/>
        <v>1.3049029240479623E-2</v>
      </c>
      <c r="H336" s="10"/>
      <c r="J336" s="7"/>
      <c r="K336" s="9"/>
      <c r="L336" s="11"/>
    </row>
    <row r="337" spans="1:12" x14ac:dyDescent="0.25">
      <c r="A337" s="13"/>
      <c r="B337" s="62" t="s">
        <v>14</v>
      </c>
      <c r="C337" s="63">
        <v>2017</v>
      </c>
      <c r="D337" s="64">
        <v>708.7885105186308</v>
      </c>
      <c r="E337" s="64">
        <v>699.99824229789635</v>
      </c>
      <c r="F337" s="64">
        <f t="shared" si="22"/>
        <v>8.7902682207344469</v>
      </c>
      <c r="G337" s="65">
        <f t="shared" ref="G337:G342" si="23">+F337/D337</f>
        <v>1.2401820980848688E-2</v>
      </c>
      <c r="H337" s="10"/>
      <c r="J337" s="7"/>
      <c r="K337" s="9"/>
      <c r="L337" s="11"/>
    </row>
    <row r="338" spans="1:12" x14ac:dyDescent="0.25">
      <c r="A338" s="13"/>
      <c r="B338" s="62" t="s">
        <v>16</v>
      </c>
      <c r="C338" s="63">
        <v>2017</v>
      </c>
      <c r="D338" s="64">
        <v>708.01161207251653</v>
      </c>
      <c r="E338" s="64">
        <v>699.99839767758533</v>
      </c>
      <c r="F338" s="64">
        <f t="shared" ref="F338:F343" si="24">+D338-E338</f>
        <v>8.0132143949311967</v>
      </c>
      <c r="G338" s="65">
        <f t="shared" si="23"/>
        <v>1.1317913800134765E-2</v>
      </c>
      <c r="H338" s="10"/>
      <c r="J338" s="7"/>
      <c r="K338" s="9"/>
      <c r="L338" s="11"/>
    </row>
    <row r="339" spans="1:12" x14ac:dyDescent="0.25">
      <c r="A339" s="13"/>
      <c r="B339" s="62" t="s">
        <v>6</v>
      </c>
      <c r="C339" s="63">
        <v>2017</v>
      </c>
      <c r="D339" s="64">
        <v>706.30880763497385</v>
      </c>
      <c r="E339" s="64">
        <v>699.99873823847372</v>
      </c>
      <c r="F339" s="64">
        <f t="shared" si="24"/>
        <v>6.3100693965001255</v>
      </c>
      <c r="G339" s="65">
        <f t="shared" si="23"/>
        <v>8.9338676345109679E-3</v>
      </c>
      <c r="H339" s="10"/>
      <c r="J339" s="7"/>
      <c r="K339" s="9"/>
      <c r="L339" s="11"/>
    </row>
    <row r="340" spans="1:12" x14ac:dyDescent="0.25">
      <c r="A340" s="13"/>
      <c r="B340" s="62" t="s">
        <v>17</v>
      </c>
      <c r="C340" s="63">
        <v>2017</v>
      </c>
      <c r="D340" s="64">
        <v>708.97999329363881</v>
      </c>
      <c r="E340" s="64">
        <v>699.99820400134104</v>
      </c>
      <c r="F340" s="64">
        <f t="shared" si="24"/>
        <v>8.9817892922977762</v>
      </c>
      <c r="G340" s="65">
        <f t="shared" si="23"/>
        <v>1.266860754500555E-2</v>
      </c>
      <c r="H340" s="10"/>
      <c r="J340" s="7"/>
      <c r="K340" s="9"/>
      <c r="L340" s="11"/>
    </row>
    <row r="341" spans="1:12" x14ac:dyDescent="0.25">
      <c r="A341" s="13"/>
      <c r="B341" s="62" t="s">
        <v>9</v>
      </c>
      <c r="C341" s="63">
        <v>2018</v>
      </c>
      <c r="D341" s="64">
        <v>712.02520859616311</v>
      </c>
      <c r="E341" s="64">
        <v>720.53170095828034</v>
      </c>
      <c r="F341" s="64">
        <f t="shared" si="24"/>
        <v>-8.5064923621172284</v>
      </c>
      <c r="G341" s="65">
        <f t="shared" si="23"/>
        <v>-1.1946897749433232E-2</v>
      </c>
      <c r="H341" s="10"/>
      <c r="J341" s="7"/>
      <c r="K341" s="9"/>
      <c r="L341" s="11"/>
    </row>
    <row r="342" spans="1:12" x14ac:dyDescent="0.25">
      <c r="A342" s="13"/>
      <c r="B342" s="62" t="s">
        <v>22</v>
      </c>
      <c r="C342" s="63">
        <v>2018</v>
      </c>
      <c r="D342" s="64">
        <v>710.46077724562576</v>
      </c>
      <c r="E342" s="64">
        <v>720.53201384455076</v>
      </c>
      <c r="F342" s="64">
        <f t="shared" si="24"/>
        <v>-10.071236598924997</v>
      </c>
      <c r="G342" s="65">
        <f t="shared" si="23"/>
        <v>-1.4175640544112817E-2</v>
      </c>
      <c r="H342" s="10"/>
      <c r="J342" s="7"/>
      <c r="K342" s="9"/>
      <c r="L342" s="11"/>
    </row>
    <row r="343" spans="1:12" x14ac:dyDescent="0.25">
      <c r="A343" s="13"/>
      <c r="B343" s="62" t="s">
        <v>10</v>
      </c>
      <c r="C343" s="63">
        <v>2018</v>
      </c>
      <c r="D343" s="64">
        <v>711.13235903674456</v>
      </c>
      <c r="E343" s="64">
        <v>720.53187952819292</v>
      </c>
      <c r="F343" s="64">
        <f t="shared" si="24"/>
        <v>-9.3995204914483566</v>
      </c>
      <c r="G343" s="65">
        <f t="shared" ref="G343:G348" si="25">+F343/D343</f>
        <v>-1.3217680748180773E-2</v>
      </c>
      <c r="H343" s="10"/>
      <c r="J343" s="7"/>
      <c r="K343" s="9"/>
      <c r="L343" s="11"/>
    </row>
    <row r="344" spans="1:12" x14ac:dyDescent="0.25">
      <c r="A344" s="13"/>
      <c r="B344" s="62" t="s">
        <v>44</v>
      </c>
      <c r="C344" s="63">
        <v>2018</v>
      </c>
      <c r="D344" s="64">
        <v>709.73541092930225</v>
      </c>
      <c r="E344" s="64">
        <v>720.53215891781394</v>
      </c>
      <c r="F344" s="64">
        <f t="shared" ref="F344:F349" si="26">+D344-E344</f>
        <v>-10.796747988511697</v>
      </c>
      <c r="G344" s="65">
        <f t="shared" si="25"/>
        <v>-1.5212356354567148E-2</v>
      </c>
      <c r="H344" s="10"/>
      <c r="J344" s="7"/>
      <c r="K344" s="9"/>
      <c r="L344" s="11"/>
    </row>
    <row r="345" spans="1:12" x14ac:dyDescent="0.25">
      <c r="A345" s="13"/>
      <c r="B345" s="62" t="s">
        <v>15</v>
      </c>
      <c r="C345" s="63">
        <v>2018</v>
      </c>
      <c r="D345" s="64">
        <v>710.072585178841</v>
      </c>
      <c r="E345" s="64">
        <v>720.53209148296412</v>
      </c>
      <c r="F345" s="64">
        <f t="shared" si="26"/>
        <v>-10.459506304123124</v>
      </c>
      <c r="G345" s="65">
        <f t="shared" si="25"/>
        <v>-1.4730193113269908E-2</v>
      </c>
      <c r="H345" s="10"/>
      <c r="J345" s="7"/>
      <c r="K345" s="9"/>
      <c r="L345" s="11"/>
    </row>
    <row r="346" spans="1:12" x14ac:dyDescent="0.25">
      <c r="A346" s="13"/>
      <c r="B346" s="62" t="s">
        <v>12</v>
      </c>
      <c r="C346" s="63">
        <v>2018</v>
      </c>
      <c r="D346" s="64">
        <v>708.21956519788512</v>
      </c>
      <c r="E346" s="64">
        <v>720.53246208696021</v>
      </c>
      <c r="F346" s="64">
        <f t="shared" si="26"/>
        <v>-12.312896889075091</v>
      </c>
      <c r="G346" s="65">
        <f t="shared" si="25"/>
        <v>-1.738570564007889E-2</v>
      </c>
      <c r="H346" s="10"/>
      <c r="J346" s="7"/>
      <c r="K346" s="9"/>
      <c r="L346" s="11"/>
    </row>
    <row r="347" spans="1:12" x14ac:dyDescent="0.25">
      <c r="A347" s="13"/>
      <c r="B347" s="62" t="s">
        <v>7</v>
      </c>
      <c r="C347" s="63">
        <v>2018</v>
      </c>
      <c r="D347" s="64">
        <v>707.53895086802152</v>
      </c>
      <c r="E347" s="64">
        <v>720.53259820982589</v>
      </c>
      <c r="F347" s="64">
        <f t="shared" si="26"/>
        <v>-12.993647341804376</v>
      </c>
      <c r="G347" s="65">
        <f t="shared" si="25"/>
        <v>-1.8364568234531167E-2</v>
      </c>
      <c r="H347" s="10"/>
      <c r="J347" s="7"/>
      <c r="K347" s="9"/>
      <c r="L347" s="11"/>
    </row>
    <row r="348" spans="1:12" x14ac:dyDescent="0.25">
      <c r="A348" s="13"/>
      <c r="B348" s="62" t="s">
        <v>11</v>
      </c>
      <c r="C348" s="63">
        <v>2018</v>
      </c>
      <c r="D348" s="64">
        <v>710.75738580756411</v>
      </c>
      <c r="E348" s="64">
        <v>720.5319545228391</v>
      </c>
      <c r="F348" s="64">
        <f t="shared" si="26"/>
        <v>-9.7745687152749952</v>
      </c>
      <c r="G348" s="65">
        <f t="shared" si="25"/>
        <v>-1.3752328024237283E-2</v>
      </c>
      <c r="H348" s="10"/>
      <c r="J348" s="7"/>
      <c r="K348" s="9"/>
      <c r="L348" s="11"/>
    </row>
    <row r="349" spans="1:12" x14ac:dyDescent="0.25">
      <c r="A349" s="13"/>
      <c r="B349" s="62" t="s">
        <v>14</v>
      </c>
      <c r="C349" s="63">
        <v>2018</v>
      </c>
      <c r="D349" s="64">
        <v>712.66053146655531</v>
      </c>
      <c r="E349" s="64">
        <v>720.53157389370676</v>
      </c>
      <c r="F349" s="64">
        <f t="shared" si="26"/>
        <v>-7.8710424271514512</v>
      </c>
      <c r="G349" s="65">
        <f t="shared" ref="G349:G354" si="27">+F349/D349</f>
        <v>-1.1044588664050121E-2</v>
      </c>
      <c r="H349" s="10"/>
      <c r="J349" s="7"/>
      <c r="K349" s="9"/>
      <c r="L349" s="11"/>
    </row>
    <row r="350" spans="1:12" x14ac:dyDescent="0.25">
      <c r="A350" s="13"/>
      <c r="B350" s="62" t="s">
        <v>16</v>
      </c>
      <c r="C350" s="63">
        <v>2018</v>
      </c>
      <c r="D350" s="64">
        <v>714.30970363038341</v>
      </c>
      <c r="E350" s="64">
        <v>720.53124405927383</v>
      </c>
      <c r="F350" s="64">
        <f t="shared" ref="F350:F355" si="28">+D350-E350</f>
        <v>-6.221540428890421</v>
      </c>
      <c r="G350" s="65">
        <f t="shared" si="27"/>
        <v>-8.7098640789426141E-3</v>
      </c>
      <c r="H350" s="10"/>
      <c r="J350" s="7"/>
      <c r="K350" s="9"/>
      <c r="L350" s="11"/>
    </row>
    <row r="351" spans="1:12" x14ac:dyDescent="0.25">
      <c r="A351" s="13"/>
      <c r="B351" s="62" t="s">
        <v>6</v>
      </c>
      <c r="C351" s="63">
        <v>2018</v>
      </c>
      <c r="D351" s="64">
        <v>714.66674110668748</v>
      </c>
      <c r="E351" s="64">
        <v>720.53117265177809</v>
      </c>
      <c r="F351" s="64">
        <f t="shared" si="28"/>
        <v>-5.8644315450906106</v>
      </c>
      <c r="G351" s="65">
        <f t="shared" si="27"/>
        <v>-8.2058268669524554E-3</v>
      </c>
      <c r="H351" s="10"/>
      <c r="J351" s="7"/>
      <c r="K351" s="9"/>
      <c r="L351" s="11"/>
    </row>
    <row r="352" spans="1:12" x14ac:dyDescent="0.25">
      <c r="A352" s="13"/>
      <c r="B352" s="62" t="s">
        <v>17</v>
      </c>
      <c r="C352" s="63">
        <v>2018</v>
      </c>
      <c r="D352" s="64">
        <v>715.15691856045362</v>
      </c>
      <c r="E352" s="64">
        <v>720.53107461628827</v>
      </c>
      <c r="F352" s="64">
        <f t="shared" si="28"/>
        <v>-5.3741560558346464</v>
      </c>
      <c r="G352" s="65">
        <f t="shared" si="27"/>
        <v>-7.5146529612722451E-3</v>
      </c>
      <c r="H352" s="10"/>
      <c r="J352" s="7"/>
      <c r="K352" s="9"/>
      <c r="L352" s="11"/>
    </row>
    <row r="353" spans="1:12" x14ac:dyDescent="0.25">
      <c r="A353" s="13"/>
      <c r="B353" s="62" t="s">
        <v>9</v>
      </c>
      <c r="C353" s="63">
        <v>2019</v>
      </c>
      <c r="D353" s="64">
        <v>719.87648005459516</v>
      </c>
      <c r="E353" s="64">
        <v>735.47311870398948</v>
      </c>
      <c r="F353" s="64">
        <f t="shared" si="28"/>
        <v>-15.596638649394322</v>
      </c>
      <c r="G353" s="65">
        <f t="shared" si="27"/>
        <v>-2.1665714996288638E-2</v>
      </c>
      <c r="H353" s="10"/>
      <c r="J353" s="7"/>
      <c r="K353" s="9"/>
      <c r="L353" s="11"/>
    </row>
    <row r="354" spans="1:12" x14ac:dyDescent="0.25">
      <c r="A354" s="13"/>
      <c r="B354" s="62" t="s">
        <v>22</v>
      </c>
      <c r="C354" s="63">
        <v>2019</v>
      </c>
      <c r="D354" s="64">
        <v>717.78676902103166</v>
      </c>
      <c r="E354" s="64">
        <v>735.47353664619538</v>
      </c>
      <c r="F354" s="64">
        <f t="shared" si="28"/>
        <v>-17.686767625163725</v>
      </c>
      <c r="G354" s="65">
        <f t="shared" si="27"/>
        <v>-2.464069886560627E-2</v>
      </c>
      <c r="H354" s="10"/>
      <c r="J354" s="7"/>
      <c r="K354" s="9"/>
      <c r="L354" s="11"/>
    </row>
    <row r="355" spans="1:12" x14ac:dyDescent="0.25">
      <c r="A355" s="13"/>
      <c r="B355" s="62" t="s">
        <v>10</v>
      </c>
      <c r="C355" s="63">
        <v>2019</v>
      </c>
      <c r="D355" s="64">
        <v>713.04861371418042</v>
      </c>
      <c r="E355" s="64">
        <v>735.47448427725669</v>
      </c>
      <c r="F355" s="64">
        <f t="shared" si="28"/>
        <v>-22.425870563076273</v>
      </c>
      <c r="G355" s="65">
        <f t="shared" ref="G355:G360" si="29">+F355/D355</f>
        <v>-3.1450689520680419E-2</v>
      </c>
      <c r="H355" s="10"/>
      <c r="J355" s="7"/>
      <c r="K355" s="9"/>
      <c r="L355" s="11"/>
    </row>
    <row r="356" spans="1:12" x14ac:dyDescent="0.25">
      <c r="A356" s="13"/>
      <c r="B356" s="62" t="s">
        <v>21</v>
      </c>
      <c r="C356" s="63">
        <v>2019</v>
      </c>
      <c r="D356" s="64">
        <v>715.70276865587061</v>
      </c>
      <c r="E356" s="64">
        <v>735.4739534462683</v>
      </c>
      <c r="F356" s="64">
        <f t="shared" ref="F356:F361" si="30">+D356-E356</f>
        <v>-19.771184790397683</v>
      </c>
      <c r="G356" s="65">
        <f t="shared" si="29"/>
        <v>-2.762485441760839E-2</v>
      </c>
      <c r="H356" s="10"/>
      <c r="J356" s="7"/>
      <c r="K356" s="9"/>
      <c r="L356" s="11"/>
    </row>
    <row r="357" spans="1:12" x14ac:dyDescent="0.25">
      <c r="A357" s="13"/>
      <c r="B357" s="62" t="s">
        <v>15</v>
      </c>
      <c r="C357" s="63">
        <v>2019</v>
      </c>
      <c r="D357" s="64">
        <v>715.61292568176373</v>
      </c>
      <c r="E357" s="64">
        <v>735.47397141486351</v>
      </c>
      <c r="F357" s="64">
        <f t="shared" si="30"/>
        <v>-19.861045733099786</v>
      </c>
      <c r="G357" s="65">
        <f t="shared" si="29"/>
        <v>-2.7753894627012485E-2</v>
      </c>
      <c r="H357" s="10"/>
      <c r="J357" s="7"/>
      <c r="K357" s="9"/>
      <c r="L357" s="11"/>
    </row>
    <row r="358" spans="1:12" x14ac:dyDescent="0.25">
      <c r="A358" s="13"/>
      <c r="B358" s="62" t="s">
        <v>12</v>
      </c>
      <c r="C358" s="63">
        <v>2019</v>
      </c>
      <c r="D358" s="64">
        <v>715.83479813359384</v>
      </c>
      <c r="E358" s="64">
        <v>735.47392704037316</v>
      </c>
      <c r="F358" s="64">
        <f t="shared" si="30"/>
        <v>-19.63912890677932</v>
      </c>
      <c r="G358" s="65">
        <f t="shared" si="29"/>
        <v>-2.7435281098354952E-2</v>
      </c>
      <c r="H358" s="10"/>
      <c r="J358" s="7"/>
      <c r="K358" s="9"/>
      <c r="L358" s="11"/>
    </row>
    <row r="359" spans="1:12" x14ac:dyDescent="0.25">
      <c r="A359" s="13"/>
      <c r="B359" s="62" t="s">
        <v>7</v>
      </c>
      <c r="C359" s="63">
        <v>2019</v>
      </c>
      <c r="D359" s="64">
        <v>715.7368251729639</v>
      </c>
      <c r="E359" s="64">
        <v>735.47394663496561</v>
      </c>
      <c r="F359" s="64">
        <f t="shared" si="30"/>
        <v>-19.73712146200171</v>
      </c>
      <c r="G359" s="65">
        <f t="shared" si="29"/>
        <v>-2.7575947985115992E-2</v>
      </c>
      <c r="H359" s="10"/>
      <c r="J359" s="7"/>
      <c r="K359" s="9"/>
      <c r="L359" s="11"/>
    </row>
    <row r="360" spans="1:12" x14ac:dyDescent="0.25">
      <c r="A360" s="13"/>
      <c r="B360" s="62" t="s">
        <v>11</v>
      </c>
      <c r="C360" s="63">
        <v>2019</v>
      </c>
      <c r="D360" s="64">
        <v>714.46830534745197</v>
      </c>
      <c r="E360" s="64">
        <v>735.47420033893036</v>
      </c>
      <c r="F360" s="64">
        <f t="shared" si="30"/>
        <v>-21.005894991478385</v>
      </c>
      <c r="G360" s="65">
        <f t="shared" si="29"/>
        <v>-2.9400737351481309E-2</v>
      </c>
      <c r="H360" s="10"/>
      <c r="J360" s="7"/>
      <c r="K360" s="9"/>
      <c r="L360" s="11"/>
    </row>
    <row r="361" spans="1:12" x14ac:dyDescent="0.25">
      <c r="A361" s="13"/>
      <c r="B361" s="62" t="s">
        <v>14</v>
      </c>
      <c r="C361" s="63">
        <v>2019</v>
      </c>
      <c r="D361" s="64">
        <v>713.7470456560402</v>
      </c>
      <c r="E361" s="64">
        <v>735.47434459086946</v>
      </c>
      <c r="F361" s="64">
        <f t="shared" si="30"/>
        <v>-21.727298934829264</v>
      </c>
      <c r="G361" s="65">
        <f t="shared" ref="G361:G366" si="31">+F361/D361</f>
        <v>-3.0441175297417349E-2</v>
      </c>
      <c r="H361" s="10"/>
      <c r="J361" s="7"/>
      <c r="K361" s="9"/>
      <c r="L361" s="11"/>
    </row>
    <row r="362" spans="1:12" x14ac:dyDescent="0.25">
      <c r="A362" s="13"/>
      <c r="B362" s="62" t="s">
        <v>16</v>
      </c>
      <c r="C362" s="63">
        <v>2019</v>
      </c>
      <c r="D362" s="64">
        <v>718.18068377438431</v>
      </c>
      <c r="E362" s="64">
        <v>735.47345786324547</v>
      </c>
      <c r="F362" s="64">
        <f t="shared" ref="F362:F367" si="32">+D362-E362</f>
        <v>-17.292774088861165</v>
      </c>
      <c r="G362" s="65">
        <f t="shared" si="31"/>
        <v>-2.4078584233119909E-2</v>
      </c>
      <c r="H362" s="10"/>
      <c r="J362" s="7"/>
      <c r="K362" s="9"/>
      <c r="L362" s="11"/>
    </row>
    <row r="363" spans="1:12" x14ac:dyDescent="0.25">
      <c r="A363" s="13"/>
      <c r="B363" s="62" t="s">
        <v>6</v>
      </c>
      <c r="C363" s="63">
        <v>2019</v>
      </c>
      <c r="D363" s="64">
        <v>715.10449854938395</v>
      </c>
      <c r="E363" s="64">
        <v>735.47407310028996</v>
      </c>
      <c r="F363" s="64">
        <f t="shared" si="32"/>
        <v>-20.369574550906009</v>
      </c>
      <c r="G363" s="65">
        <f t="shared" si="31"/>
        <v>-2.8484752357489637E-2</v>
      </c>
      <c r="H363" s="10"/>
      <c r="J363" s="7"/>
      <c r="K363" s="9"/>
      <c r="L363" s="11"/>
    </row>
    <row r="364" spans="1:12" x14ac:dyDescent="0.25">
      <c r="A364" s="13"/>
      <c r="B364" s="62" t="s">
        <v>17</v>
      </c>
      <c r="C364" s="63">
        <v>2019</v>
      </c>
      <c r="D364" s="64">
        <v>715.07781756818292</v>
      </c>
      <c r="E364" s="64">
        <v>735.47407843648625</v>
      </c>
      <c r="F364" s="64">
        <f t="shared" si="32"/>
        <v>-20.39626086830333</v>
      </c>
      <c r="G364" s="65">
        <f t="shared" si="31"/>
        <v>-2.8523134639620588E-2</v>
      </c>
      <c r="H364" s="10"/>
      <c r="J364" s="7"/>
      <c r="K364" s="9"/>
      <c r="L364" s="11"/>
    </row>
    <row r="365" spans="1:12" x14ac:dyDescent="0.25">
      <c r="A365" s="13"/>
      <c r="B365" s="62" t="s">
        <v>9</v>
      </c>
      <c r="C365" s="63">
        <v>2020</v>
      </c>
      <c r="D365" s="64">
        <v>716.14217182974392</v>
      </c>
      <c r="E365" s="64">
        <v>746.67</v>
      </c>
      <c r="F365" s="64">
        <f t="shared" si="32"/>
        <v>-30.527828170256043</v>
      </c>
      <c r="G365" s="65">
        <f t="shared" si="31"/>
        <v>-4.2628167102989362E-2</v>
      </c>
      <c r="H365" s="10"/>
      <c r="J365" s="7"/>
      <c r="K365" s="9"/>
      <c r="L365" s="11"/>
    </row>
    <row r="366" spans="1:12" x14ac:dyDescent="0.25">
      <c r="A366" s="13"/>
      <c r="B366" s="62" t="s">
        <v>22</v>
      </c>
      <c r="C366" s="63">
        <v>2020</v>
      </c>
      <c r="D366" s="64">
        <v>712.99755528460764</v>
      </c>
      <c r="E366" s="64">
        <v>746.67340048894323</v>
      </c>
      <c r="F366" s="64">
        <f t="shared" si="32"/>
        <v>-33.675845204335587</v>
      </c>
      <c r="G366" s="65">
        <f t="shared" si="31"/>
        <v>-4.723136139070376E-2</v>
      </c>
      <c r="H366" s="10"/>
      <c r="J366" s="7"/>
      <c r="K366" s="9"/>
      <c r="L366" s="11"/>
    </row>
    <row r="367" spans="1:12" x14ac:dyDescent="0.25">
      <c r="A367" s="13"/>
      <c r="B367" s="62" t="s">
        <v>10</v>
      </c>
      <c r="C367" s="63">
        <v>2020</v>
      </c>
      <c r="D367" s="64">
        <v>713.888824026723</v>
      </c>
      <c r="E367" s="64">
        <v>746.67322223519523</v>
      </c>
      <c r="F367" s="64">
        <f t="shared" si="32"/>
        <v>-32.784398208472226</v>
      </c>
      <c r="G367" s="65">
        <f t="shared" ref="G367:G372" si="33">+F367/D367</f>
        <v>-4.5923674814728588E-2</v>
      </c>
      <c r="H367" s="10"/>
      <c r="J367" s="7"/>
      <c r="K367" s="9"/>
      <c r="L367" s="11"/>
    </row>
    <row r="368" spans="1:12" x14ac:dyDescent="0.25">
      <c r="A368" s="13"/>
      <c r="B368" s="62" t="s">
        <v>21</v>
      </c>
      <c r="C368" s="63">
        <v>2020</v>
      </c>
      <c r="D368" s="64">
        <v>728.38473965899311</v>
      </c>
      <c r="E368" s="64">
        <v>746.67032305206828</v>
      </c>
      <c r="F368" s="64">
        <f t="shared" ref="F368:F373" si="34">+D368-E368</f>
        <v>-18.285583393075171</v>
      </c>
      <c r="G368" s="65">
        <f t="shared" si="33"/>
        <v>-2.5104292275035731E-2</v>
      </c>
      <c r="H368" s="10"/>
      <c r="J368" s="7"/>
      <c r="K368" s="9"/>
      <c r="L368" s="11"/>
    </row>
    <row r="369" spans="1:12" x14ac:dyDescent="0.25">
      <c r="A369" s="13"/>
      <c r="B369" s="62" t="s">
        <v>15</v>
      </c>
      <c r="C369" s="63">
        <v>2020</v>
      </c>
      <c r="D369" s="64">
        <v>724.41407204903715</v>
      </c>
      <c r="E369" s="64">
        <v>746.67111718559056</v>
      </c>
      <c r="F369" s="64">
        <f t="shared" si="34"/>
        <v>-22.257045136553415</v>
      </c>
      <c r="G369" s="65">
        <f t="shared" si="33"/>
        <v>-3.0724203180645542E-2</v>
      </c>
      <c r="H369" s="10"/>
      <c r="J369" s="7"/>
      <c r="K369" s="9"/>
      <c r="L369" s="11"/>
    </row>
    <row r="370" spans="1:12" x14ac:dyDescent="0.25">
      <c r="A370" s="13"/>
      <c r="B370" s="62" t="s">
        <v>12</v>
      </c>
      <c r="C370" s="63">
        <v>2020</v>
      </c>
      <c r="D370" s="64">
        <v>719.02900816140357</v>
      </c>
      <c r="E370" s="64">
        <v>746.67219419836817</v>
      </c>
      <c r="F370" s="64">
        <f t="shared" si="34"/>
        <v>-27.643186036964607</v>
      </c>
      <c r="G370" s="65">
        <f t="shared" si="33"/>
        <v>-3.8445161075837182E-2</v>
      </c>
      <c r="H370" s="10"/>
      <c r="J370" s="7"/>
      <c r="K370" s="9"/>
      <c r="L370" s="11"/>
    </row>
    <row r="371" spans="1:12" x14ac:dyDescent="0.25">
      <c r="A371" s="13"/>
      <c r="B371" s="62" t="s">
        <v>7</v>
      </c>
      <c r="C371" s="63">
        <v>2020</v>
      </c>
      <c r="D371" s="64">
        <v>713.72407460287229</v>
      </c>
      <c r="E371" s="64">
        <v>746.67325518507937</v>
      </c>
      <c r="F371" s="64">
        <f t="shared" si="34"/>
        <v>-32.949180582207077</v>
      </c>
      <c r="G371" s="65">
        <f t="shared" si="33"/>
        <v>-4.616515226916023E-2</v>
      </c>
      <c r="H371" s="10"/>
      <c r="J371" s="7"/>
      <c r="K371" s="9"/>
      <c r="L371" s="11"/>
    </row>
    <row r="372" spans="1:12" x14ac:dyDescent="0.25">
      <c r="A372" s="13"/>
      <c r="B372" s="62" t="s">
        <v>11</v>
      </c>
      <c r="C372" s="63">
        <v>2020</v>
      </c>
      <c r="D372" s="64">
        <v>711.33407629741737</v>
      </c>
      <c r="E372" s="64">
        <v>746.67373318474108</v>
      </c>
      <c r="F372" s="64">
        <f t="shared" si="34"/>
        <v>-35.339656887323713</v>
      </c>
      <c r="G372" s="65">
        <f t="shared" si="33"/>
        <v>-4.9680815336826036E-2</v>
      </c>
      <c r="H372" s="10"/>
      <c r="J372" s="7"/>
      <c r="K372" s="9"/>
      <c r="L372" s="11"/>
    </row>
    <row r="373" spans="1:12" x14ac:dyDescent="0.25">
      <c r="A373" s="13"/>
      <c r="B373" s="62" t="s">
        <v>14</v>
      </c>
      <c r="C373" s="63">
        <v>2020</v>
      </c>
      <c r="D373" s="64">
        <v>711.02815316516899</v>
      </c>
      <c r="E373" s="64">
        <v>746.67379436936756</v>
      </c>
      <c r="F373" s="64">
        <f t="shared" si="34"/>
        <v>-35.645641204198569</v>
      </c>
      <c r="G373" s="65">
        <f t="shared" ref="G373:G378" si="35">+F373/D373</f>
        <v>-5.0132531385038183E-2</v>
      </c>
      <c r="H373" s="10"/>
      <c r="J373" s="7"/>
      <c r="K373" s="9"/>
      <c r="L373" s="11"/>
    </row>
    <row r="374" spans="1:12" x14ac:dyDescent="0.25">
      <c r="A374" s="13"/>
      <c r="B374" s="62" t="s">
        <v>16</v>
      </c>
      <c r="C374" s="63">
        <v>2020</v>
      </c>
      <c r="D374" s="64">
        <v>710.73611212648814</v>
      </c>
      <c r="E374" s="64">
        <v>746.67385277757467</v>
      </c>
      <c r="F374" s="64">
        <f t="shared" ref="F374:F379" si="36">+D374-E374</f>
        <v>-35.937740651086528</v>
      </c>
      <c r="G374" s="65">
        <f t="shared" si="35"/>
        <v>-5.0564112387032852E-2</v>
      </c>
      <c r="H374" s="10"/>
      <c r="J374" s="7"/>
      <c r="K374" s="9"/>
      <c r="L374" s="11"/>
    </row>
    <row r="375" spans="1:12" x14ac:dyDescent="0.25">
      <c r="A375" s="13"/>
      <c r="B375" s="62" t="s">
        <v>6</v>
      </c>
      <c r="C375" s="63">
        <v>2020</v>
      </c>
      <c r="D375" s="64">
        <v>711.1176496590341</v>
      </c>
      <c r="E375" s="64">
        <v>746.67377647006913</v>
      </c>
      <c r="F375" s="64">
        <f t="shared" si="36"/>
        <v>-35.556126811035028</v>
      </c>
      <c r="G375" s="65">
        <f t="shared" si="35"/>
        <v>-5.0000343583207985E-2</v>
      </c>
      <c r="H375" s="10"/>
      <c r="J375" s="7"/>
      <c r="K375" s="9"/>
      <c r="L375" s="11"/>
    </row>
    <row r="376" spans="1:12" x14ac:dyDescent="0.25">
      <c r="A376" s="13"/>
      <c r="B376" s="62" t="s">
        <v>17</v>
      </c>
      <c r="C376" s="63">
        <v>2020</v>
      </c>
      <c r="D376" s="64">
        <v>710.0846148410044</v>
      </c>
      <c r="E376" s="64">
        <v>746.67398307703218</v>
      </c>
      <c r="F376" s="64">
        <f t="shared" si="36"/>
        <v>-36.589368236027781</v>
      </c>
      <c r="G376" s="65">
        <f t="shared" si="35"/>
        <v>-5.1528180545385473E-2</v>
      </c>
      <c r="H376" s="10"/>
      <c r="J376" s="7"/>
      <c r="K376" s="9"/>
      <c r="L376" s="11"/>
    </row>
    <row r="377" spans="1:12" x14ac:dyDescent="0.25">
      <c r="A377" s="13"/>
      <c r="B377" s="62" t="s">
        <v>9</v>
      </c>
      <c r="C377" s="63">
        <v>2021</v>
      </c>
      <c r="D377" s="64">
        <v>712.11494214576635</v>
      </c>
      <c r="E377" s="64">
        <v>746.67357701157061</v>
      </c>
      <c r="F377" s="64">
        <f t="shared" si="36"/>
        <v>-34.558634865804265</v>
      </c>
      <c r="G377" s="65">
        <f t="shared" si="35"/>
        <v>-4.8529574118570153E-2</v>
      </c>
      <c r="H377" s="10"/>
      <c r="J377" s="7"/>
      <c r="K377" s="9"/>
      <c r="L377" s="11"/>
    </row>
    <row r="378" spans="1:12" x14ac:dyDescent="0.25">
      <c r="A378" s="13"/>
      <c r="B378" s="62" t="s">
        <v>22</v>
      </c>
      <c r="C378" s="63">
        <v>2021</v>
      </c>
      <c r="D378" s="64">
        <v>712.06511784353268</v>
      </c>
      <c r="E378" s="64">
        <v>746.67358697643169</v>
      </c>
      <c r="F378" s="64">
        <f t="shared" si="36"/>
        <v>-34.608469132899017</v>
      </c>
      <c r="G378" s="65">
        <f t="shared" si="35"/>
        <v>-4.8602955355697947E-2</v>
      </c>
      <c r="H378" s="10"/>
      <c r="J378" s="7"/>
      <c r="K378" s="9"/>
      <c r="L378" s="11"/>
    </row>
    <row r="379" spans="1:12" x14ac:dyDescent="0.25">
      <c r="A379" s="13"/>
      <c r="B379" s="62" t="s">
        <v>10</v>
      </c>
      <c r="C379" s="63">
        <v>2021</v>
      </c>
      <c r="D379" s="64">
        <v>711.79739818039741</v>
      </c>
      <c r="E379" s="64">
        <v>746.67364052036385</v>
      </c>
      <c r="F379" s="64">
        <f t="shared" si="36"/>
        <v>-34.876242339966439</v>
      </c>
      <c r="G379" s="65">
        <f t="shared" ref="G379:G384" si="37">+F379/D379</f>
        <v>-4.8997428803648747E-2</v>
      </c>
      <c r="H379" s="10"/>
      <c r="J379" s="7"/>
      <c r="K379" s="9"/>
      <c r="L379" s="11"/>
    </row>
    <row r="380" spans="1:12" x14ac:dyDescent="0.25">
      <c r="A380" s="13"/>
      <c r="B380" s="62" t="s">
        <v>21</v>
      </c>
      <c r="C380" s="63">
        <v>2021</v>
      </c>
      <c r="D380" s="64">
        <v>711.18056596573524</v>
      </c>
      <c r="E380" s="64">
        <v>746.67376388680691</v>
      </c>
      <c r="F380" s="64">
        <f t="shared" ref="F380:F385" si="38">+D380-E380</f>
        <v>-35.493197921071669</v>
      </c>
      <c r="G380" s="65">
        <f t="shared" si="37"/>
        <v>-4.9907435072940022E-2</v>
      </c>
      <c r="H380" s="10"/>
      <c r="J380" s="7"/>
      <c r="K380" s="9"/>
      <c r="L380" s="11"/>
    </row>
    <row r="381" spans="1:12" x14ac:dyDescent="0.25">
      <c r="A381" s="13"/>
      <c r="B381" s="62" t="s">
        <v>15</v>
      </c>
      <c r="C381" s="63">
        <v>2021</v>
      </c>
      <c r="D381" s="64">
        <v>710.94768930967564</v>
      </c>
      <c r="E381" s="64">
        <v>746.67381046213904</v>
      </c>
      <c r="F381" s="64">
        <f t="shared" si="38"/>
        <v>-35.726121152463406</v>
      </c>
      <c r="G381" s="65">
        <f t="shared" si="37"/>
        <v>-5.0251406242213373E-2</v>
      </c>
      <c r="H381" s="10"/>
      <c r="J381" s="7"/>
      <c r="K381" s="9"/>
      <c r="L381" s="11"/>
    </row>
    <row r="382" spans="1:12" x14ac:dyDescent="0.25">
      <c r="A382" s="31" t="s">
        <v>49</v>
      </c>
      <c r="B382" s="40" t="s">
        <v>12</v>
      </c>
      <c r="C382" s="41">
        <v>2021</v>
      </c>
      <c r="D382" s="57">
        <v>709.39611006484131</v>
      </c>
      <c r="E382" s="57">
        <v>746.6741207779877</v>
      </c>
      <c r="F382" s="57">
        <f t="shared" si="38"/>
        <v>-37.278010713146386</v>
      </c>
      <c r="G382" s="61">
        <f t="shared" si="37"/>
        <v>-5.2548935896672797E-2</v>
      </c>
      <c r="H382" s="10"/>
      <c r="J382" s="7"/>
      <c r="K382" s="9"/>
      <c r="L382" s="11"/>
    </row>
    <row r="383" spans="1:12" x14ac:dyDescent="0.25">
      <c r="A383" s="31"/>
      <c r="B383" s="40" t="s">
        <v>7</v>
      </c>
      <c r="C383" s="41">
        <v>2021</v>
      </c>
      <c r="D383" s="57">
        <v>711.67613987064692</v>
      </c>
      <c r="E383" s="57">
        <v>746.67366477202643</v>
      </c>
      <c r="F383" s="57">
        <f t="shared" si="38"/>
        <v>-34.997524901379506</v>
      </c>
      <c r="G383" s="61">
        <f t="shared" si="37"/>
        <v>-4.9176195379741966E-2</v>
      </c>
      <c r="H383" s="10"/>
      <c r="J383" s="7"/>
      <c r="K383" s="9"/>
      <c r="L383" s="11"/>
    </row>
    <row r="384" spans="1:12" x14ac:dyDescent="0.25">
      <c r="A384" s="31"/>
      <c r="B384" s="40" t="s">
        <v>11</v>
      </c>
      <c r="C384" s="41">
        <v>2021</v>
      </c>
      <c r="D384" s="57">
        <v>712.6700732641342</v>
      </c>
      <c r="E384" s="57">
        <v>746.67346598534755</v>
      </c>
      <c r="F384" s="57">
        <f t="shared" si="38"/>
        <v>-34.003392721213345</v>
      </c>
      <c r="G384" s="61">
        <f t="shared" si="37"/>
        <v>-4.7712670977571404E-2</v>
      </c>
      <c r="H384" s="10"/>
      <c r="J384" s="7"/>
      <c r="K384" s="9"/>
      <c r="L384" s="11"/>
    </row>
    <row r="385" spans="1:12" x14ac:dyDescent="0.25">
      <c r="A385" s="31"/>
      <c r="B385" s="40" t="s">
        <v>14</v>
      </c>
      <c r="C385" s="41">
        <v>2021</v>
      </c>
      <c r="D385" s="57">
        <v>712.85495531864092</v>
      </c>
      <c r="E385" s="57">
        <v>746.67342900893652</v>
      </c>
      <c r="F385" s="57">
        <f t="shared" si="38"/>
        <v>-33.818473690295605</v>
      </c>
      <c r="G385" s="61">
        <f t="shared" ref="G385:G390" si="39">+F385/D385</f>
        <v>-4.7440890237171733E-2</v>
      </c>
      <c r="H385" s="10"/>
      <c r="J385" s="7"/>
      <c r="K385" s="9"/>
      <c r="L385" s="11"/>
    </row>
    <row r="386" spans="1:12" x14ac:dyDescent="0.25">
      <c r="A386" s="31"/>
      <c r="B386" s="40" t="s">
        <v>16</v>
      </c>
      <c r="C386" s="41">
        <v>2021</v>
      </c>
      <c r="D386" s="57">
        <v>712.12468809512757</v>
      </c>
      <c r="E386" s="57">
        <v>746.67357506238125</v>
      </c>
      <c r="F386" s="57">
        <f>+D386-E386</f>
        <v>-34.548886967253679</v>
      </c>
      <c r="G386" s="61">
        <f t="shared" si="39"/>
        <v>-4.8515221484132204E-2</v>
      </c>
      <c r="H386" s="10"/>
      <c r="J386" s="7"/>
      <c r="K386" s="9"/>
      <c r="L386" s="11"/>
    </row>
    <row r="387" spans="1:12" x14ac:dyDescent="0.25">
      <c r="A387" s="31"/>
      <c r="B387" s="40" t="s">
        <v>6</v>
      </c>
      <c r="C387" s="41">
        <v>2021</v>
      </c>
      <c r="D387" s="57">
        <v>715.31122922535883</v>
      </c>
      <c r="E387" s="57">
        <v>746.67293775415533</v>
      </c>
      <c r="F387" s="57">
        <f>+D387-E387</f>
        <v>-31.361708528796498</v>
      </c>
      <c r="G387" s="61">
        <f t="shared" si="39"/>
        <v>-4.3843444989336233E-2</v>
      </c>
      <c r="H387" s="10"/>
      <c r="J387" s="7"/>
      <c r="K387" s="9"/>
      <c r="L387" s="11"/>
    </row>
    <row r="388" spans="1:12" x14ac:dyDescent="0.25">
      <c r="A388" s="31"/>
      <c r="B388" s="40" t="s">
        <v>17</v>
      </c>
      <c r="C388" s="41">
        <v>2021</v>
      </c>
      <c r="D388" s="57">
        <v>719.65165715991566</v>
      </c>
      <c r="E388" s="57">
        <v>746.67206966856827</v>
      </c>
      <c r="F388" s="57">
        <f>+D388-E388</f>
        <v>-27.020412508652612</v>
      </c>
      <c r="G388" s="61">
        <f t="shared" si="39"/>
        <v>-3.7546516067631784E-2</v>
      </c>
      <c r="H388" s="10"/>
      <c r="I388" s="9"/>
      <c r="J388" s="7"/>
      <c r="K388" s="9"/>
      <c r="L388" s="11"/>
    </row>
    <row r="389" spans="1:12" x14ac:dyDescent="0.25">
      <c r="A389" s="31"/>
      <c r="B389" s="40" t="s">
        <v>9</v>
      </c>
      <c r="C389" s="41">
        <v>2022</v>
      </c>
      <c r="D389" s="57">
        <v>724.38773667958083</v>
      </c>
      <c r="E389" s="57">
        <v>793.33397273667401</v>
      </c>
      <c r="F389" s="57">
        <v>-68.955951753083099</v>
      </c>
      <c r="G389" s="61">
        <f t="shared" si="39"/>
        <v>-9.5192047382194236E-2</v>
      </c>
      <c r="H389" s="10"/>
      <c r="I389" s="9"/>
      <c r="J389" s="9"/>
      <c r="K389" s="9"/>
      <c r="L389" s="11"/>
    </row>
    <row r="390" spans="1:12" x14ac:dyDescent="0.25">
      <c r="A390" s="31"/>
      <c r="B390" s="40" t="s">
        <v>22</v>
      </c>
      <c r="C390" s="41">
        <v>2022</v>
      </c>
      <c r="D390" s="57">
        <v>725.16283183488849</v>
      </c>
      <c r="E390" s="57">
        <v>793.32998645010832</v>
      </c>
      <c r="F390" s="57">
        <f t="shared" ref="F390:F411" si="40">+D390-E390</f>
        <v>-68.167154615219829</v>
      </c>
      <c r="G390" s="61">
        <f t="shared" si="39"/>
        <v>-9.4002548976118414E-2</v>
      </c>
      <c r="H390" s="10"/>
      <c r="I390" s="9"/>
      <c r="J390" s="9"/>
      <c r="K390" s="9"/>
      <c r="L390" s="11"/>
    </row>
    <row r="391" spans="1:12" x14ac:dyDescent="0.25">
      <c r="A391" s="31"/>
      <c r="B391" s="40" t="s">
        <v>10</v>
      </c>
      <c r="C391" s="41">
        <v>2022</v>
      </c>
      <c r="D391" s="57">
        <v>725.27347169428401</v>
      </c>
      <c r="E391" s="57">
        <v>793.33000000000015</v>
      </c>
      <c r="F391" s="57">
        <f t="shared" si="40"/>
        <v>-68.056528305716142</v>
      </c>
      <c r="G391" s="61">
        <f>+F391/D391</f>
        <v>-9.3835678487911398E-2</v>
      </c>
      <c r="H391" s="10"/>
      <c r="I391" s="9"/>
      <c r="J391" s="9"/>
      <c r="K391" s="9"/>
      <c r="L391" s="11"/>
    </row>
    <row r="392" spans="1:12" x14ac:dyDescent="0.25">
      <c r="A392" s="31"/>
      <c r="B392" s="40" t="s">
        <v>21</v>
      </c>
      <c r="C392" s="41">
        <v>2022</v>
      </c>
      <c r="D392" s="57">
        <v>728.6804843813178</v>
      </c>
      <c r="E392" s="57">
        <v>793.33000000000015</v>
      </c>
      <c r="F392" s="57">
        <v>-64.662345501805902</v>
      </c>
      <c r="G392" s="61">
        <f>+F392/D392</f>
        <v>-8.8738956082660997E-2</v>
      </c>
      <c r="H392" s="10"/>
      <c r="I392" s="9"/>
      <c r="J392" s="9"/>
      <c r="K392" s="9"/>
      <c r="L392" s="11"/>
    </row>
    <row r="393" spans="1:12" x14ac:dyDescent="0.25">
      <c r="A393" s="31"/>
      <c r="B393" s="40" t="s">
        <v>15</v>
      </c>
      <c r="C393" s="41">
        <v>2022</v>
      </c>
      <c r="D393" s="57">
        <v>735.14824412501844</v>
      </c>
      <c r="E393" s="57">
        <v>793.33000000000015</v>
      </c>
      <c r="F393" s="57">
        <v>-58.193292206156798</v>
      </c>
      <c r="G393" s="61">
        <f t="shared" ref="G393:G399" si="41">F393/D393</f>
        <v>-7.9158581512248721E-2</v>
      </c>
      <c r="H393" s="10"/>
      <c r="I393" s="9"/>
      <c r="J393" s="9"/>
      <c r="K393" s="9"/>
      <c r="L393" s="11"/>
    </row>
    <row r="394" spans="1:12" x14ac:dyDescent="0.25">
      <c r="A394" s="31"/>
      <c r="B394" s="40" t="s">
        <v>12</v>
      </c>
      <c r="C394" s="41">
        <v>2022</v>
      </c>
      <c r="D394" s="57">
        <v>751.03750671882187</v>
      </c>
      <c r="E394" s="57">
        <v>793.33000000000015</v>
      </c>
      <c r="F394" s="57">
        <v>-42.300851759834586</v>
      </c>
      <c r="G394" s="61">
        <f t="shared" si="41"/>
        <v>-5.6323221385628404E-2</v>
      </c>
      <c r="H394" s="10"/>
      <c r="I394" s="9"/>
      <c r="J394" s="9"/>
      <c r="K394" s="9"/>
      <c r="L394" s="11"/>
    </row>
    <row r="395" spans="1:12" x14ac:dyDescent="0.25">
      <c r="A395" s="31"/>
      <c r="B395" s="40" t="s">
        <v>7</v>
      </c>
      <c r="C395" s="41">
        <v>2022</v>
      </c>
      <c r="D395" s="57">
        <v>753.62487066924848</v>
      </c>
      <c r="E395" s="57">
        <v>793.33000000000015</v>
      </c>
      <c r="F395" s="57">
        <v>-39.712970336618127</v>
      </c>
      <c r="G395" s="61">
        <f t="shared" si="41"/>
        <v>-5.2695939163142864E-2</v>
      </c>
      <c r="H395" s="10"/>
      <c r="I395" s="9"/>
      <c r="J395" s="9"/>
      <c r="K395" s="9"/>
      <c r="L395" s="11"/>
    </row>
    <row r="396" spans="1:12" ht="14.25" x14ac:dyDescent="0.3">
      <c r="A396" s="31"/>
      <c r="B396" s="40" t="s">
        <v>11</v>
      </c>
      <c r="C396" s="41">
        <v>2022</v>
      </c>
      <c r="D396" s="57">
        <v>754.17002114248851</v>
      </c>
      <c r="E396" s="57">
        <v>793.33000000000015</v>
      </c>
      <c r="F396" s="57">
        <f t="shared" si="40"/>
        <v>-39.159978857511646</v>
      </c>
      <c r="G396" s="61">
        <f t="shared" si="41"/>
        <v>-5.1924602887540375E-2</v>
      </c>
      <c r="H396" s="10"/>
      <c r="I396" s="9"/>
      <c r="J396" s="29"/>
      <c r="K396" s="9"/>
      <c r="L396" s="11"/>
    </row>
    <row r="397" spans="1:12" ht="14.25" x14ac:dyDescent="0.3">
      <c r="A397" s="31"/>
      <c r="B397" s="40" t="s">
        <v>14</v>
      </c>
      <c r="C397" s="41">
        <v>2022</v>
      </c>
      <c r="D397" s="57">
        <v>756.90499866886546</v>
      </c>
      <c r="E397" s="57">
        <v>793.33000000000015</v>
      </c>
      <c r="F397" s="57">
        <f t="shared" si="40"/>
        <v>-36.425001331134695</v>
      </c>
      <c r="G397" s="61">
        <f t="shared" si="41"/>
        <v>-4.8123610486380315E-2</v>
      </c>
      <c r="H397" s="10"/>
      <c r="I397" s="9"/>
      <c r="J397" s="29"/>
      <c r="K397" s="9"/>
      <c r="L397" s="11"/>
    </row>
    <row r="398" spans="1:12" ht="14.25" x14ac:dyDescent="0.3">
      <c r="A398" s="31"/>
      <c r="B398" s="40" t="s">
        <v>16</v>
      </c>
      <c r="C398" s="41">
        <v>2022</v>
      </c>
      <c r="D398" s="57">
        <v>756.50905567322752</v>
      </c>
      <c r="E398" s="57">
        <v>793.33000000000015</v>
      </c>
      <c r="F398" s="57">
        <f t="shared" si="40"/>
        <v>-36.820944326772633</v>
      </c>
      <c r="G398" s="61">
        <f t="shared" si="41"/>
        <v>-4.8672179203466615E-2</v>
      </c>
      <c r="H398" s="10"/>
      <c r="I398" s="9"/>
      <c r="J398" s="29"/>
      <c r="K398" s="9"/>
      <c r="L398" s="11"/>
    </row>
    <row r="399" spans="1:12" ht="14.25" x14ac:dyDescent="0.3">
      <c r="A399" s="31"/>
      <c r="B399" s="40" t="s">
        <v>6</v>
      </c>
      <c r="C399" s="41">
        <v>2022</v>
      </c>
      <c r="D399" s="57">
        <v>761.13684024362306</v>
      </c>
      <c r="E399" s="57">
        <v>793.33000000000015</v>
      </c>
      <c r="F399" s="57">
        <f t="shared" si="40"/>
        <v>-32.193159756377099</v>
      </c>
      <c r="G399" s="61">
        <f t="shared" si="41"/>
        <v>-4.229615235293667E-2</v>
      </c>
      <c r="H399" s="10"/>
      <c r="I399" s="9"/>
      <c r="J399" s="29"/>
      <c r="K399" s="9"/>
      <c r="L399" s="11"/>
    </row>
    <row r="400" spans="1:12" ht="14.25" x14ac:dyDescent="0.3">
      <c r="A400" s="31"/>
      <c r="B400" s="40" t="s">
        <v>17</v>
      </c>
      <c r="C400" s="41">
        <v>2022</v>
      </c>
      <c r="D400" s="57">
        <v>763.44467048442607</v>
      </c>
      <c r="E400" s="57">
        <v>793.33000000000015</v>
      </c>
      <c r="F400" s="57">
        <f t="shared" si="40"/>
        <v>-29.885329515574085</v>
      </c>
      <c r="G400" s="61">
        <f t="shared" ref="G400:G411" si="42">F400/D400</f>
        <v>-3.9145377092764354E-2</v>
      </c>
      <c r="H400" s="10"/>
      <c r="I400" s="9"/>
      <c r="J400" s="29"/>
      <c r="K400" s="9"/>
      <c r="L400" s="11"/>
    </row>
    <row r="401" spans="1:12" ht="14.25" x14ac:dyDescent="0.3">
      <c r="A401" s="31"/>
      <c r="B401" s="40" t="s">
        <v>9</v>
      </c>
      <c r="C401" s="41">
        <v>2023</v>
      </c>
      <c r="D401" s="57">
        <v>764.70665811725007</v>
      </c>
      <c r="E401" s="57">
        <v>840.00394532385189</v>
      </c>
      <c r="F401" s="57">
        <f t="shared" si="40"/>
        <v>-75.297287206601823</v>
      </c>
      <c r="G401" s="61">
        <f t="shared" si="42"/>
        <v>-9.8465583380675528E-2</v>
      </c>
      <c r="H401" s="10"/>
      <c r="I401" s="9"/>
      <c r="J401" s="29"/>
      <c r="K401" s="9"/>
      <c r="L401" s="11"/>
    </row>
    <row r="402" spans="1:12" ht="14.25" x14ac:dyDescent="0.3">
      <c r="A402" s="31"/>
      <c r="B402" s="40" t="s">
        <v>22</v>
      </c>
      <c r="C402" s="41">
        <v>2023</v>
      </c>
      <c r="D402" s="57">
        <v>767.11486448994697</v>
      </c>
      <c r="E402" s="57">
        <v>840.00346368257794</v>
      </c>
      <c r="F402" s="57">
        <f t="shared" si="40"/>
        <v>-72.888599192630977</v>
      </c>
      <c r="G402" s="61">
        <f t="shared" si="42"/>
        <v>-9.5016538678460424E-2</v>
      </c>
      <c r="H402" s="10"/>
      <c r="I402" s="9"/>
      <c r="J402" s="29"/>
      <c r="K402" s="9"/>
      <c r="L402" s="11"/>
    </row>
    <row r="403" spans="1:12" ht="14.25" x14ac:dyDescent="0.3">
      <c r="A403" s="31"/>
      <c r="B403" s="40" t="s">
        <v>10</v>
      </c>
      <c r="C403" s="41">
        <v>2023</v>
      </c>
      <c r="D403" s="57">
        <v>766.61539345399899</v>
      </c>
      <c r="E403" s="57">
        <v>840.00356357678504</v>
      </c>
      <c r="F403" s="57">
        <f t="shared" si="40"/>
        <v>-73.38817012278605</v>
      </c>
      <c r="G403" s="61">
        <f t="shared" si="42"/>
        <v>-9.5730102407850667E-2</v>
      </c>
      <c r="H403" s="10"/>
      <c r="I403" s="9"/>
      <c r="J403" s="29"/>
      <c r="K403" s="9"/>
      <c r="L403" s="11"/>
    </row>
    <row r="404" spans="1:12" ht="14.25" x14ac:dyDescent="0.3">
      <c r="A404" s="31"/>
      <c r="B404" s="40" t="s">
        <v>21</v>
      </c>
      <c r="C404" s="41">
        <v>2023</v>
      </c>
      <c r="D404" s="57">
        <v>767.31010415411595</v>
      </c>
      <c r="E404" s="57">
        <v>840.00342463464494</v>
      </c>
      <c r="F404" s="57">
        <f t="shared" si="40"/>
        <v>-72.693320480528996</v>
      </c>
      <c r="G404" s="61">
        <f t="shared" si="42"/>
        <v>-9.4737864244165332E-2</v>
      </c>
      <c r="H404" s="10"/>
      <c r="I404" s="9"/>
      <c r="J404" s="29"/>
      <c r="K404" s="9"/>
      <c r="L404" s="11"/>
    </row>
    <row r="405" spans="1:12" ht="14.25" x14ac:dyDescent="0.3">
      <c r="A405" s="31"/>
      <c r="B405" s="40" t="s">
        <v>15</v>
      </c>
      <c r="C405" s="41">
        <v>2023</v>
      </c>
      <c r="D405" s="57">
        <v>766.72817084680503</v>
      </c>
      <c r="E405" s="57">
        <v>840.00354102130609</v>
      </c>
      <c r="F405" s="57">
        <f t="shared" si="40"/>
        <v>-73.275370174501063</v>
      </c>
      <c r="G405" s="61">
        <f t="shared" si="42"/>
        <v>-9.5568902983664772E-2</v>
      </c>
      <c r="H405" s="10"/>
      <c r="I405" s="9"/>
      <c r="J405" s="29"/>
      <c r="K405" s="9"/>
      <c r="L405" s="11"/>
    </row>
    <row r="406" spans="1:12" ht="14.25" x14ac:dyDescent="0.3">
      <c r="A406" s="31"/>
      <c r="B406" s="40" t="s">
        <v>12</v>
      </c>
      <c r="C406" s="41">
        <v>2023</v>
      </c>
      <c r="D406" s="57">
        <v>772.35134185884033</v>
      </c>
      <c r="E406" s="57">
        <v>840.00241638710338</v>
      </c>
      <c r="F406" s="57">
        <f t="shared" si="40"/>
        <v>-67.651074528263052</v>
      </c>
      <c r="G406" s="61">
        <f t="shared" si="42"/>
        <v>-8.7591062333685146E-2</v>
      </c>
      <c r="H406" s="10"/>
      <c r="I406" s="9"/>
      <c r="J406" s="29"/>
      <c r="K406" s="9"/>
      <c r="L406" s="11"/>
    </row>
    <row r="407" spans="1:12" ht="14.25" x14ac:dyDescent="0.3">
      <c r="A407" s="31"/>
      <c r="B407" s="40" t="s">
        <v>7</v>
      </c>
      <c r="C407" s="41">
        <v>2023</v>
      </c>
      <c r="D407" s="57">
        <v>779.60858896919683</v>
      </c>
      <c r="E407" s="57">
        <v>840.00096493768194</v>
      </c>
      <c r="F407" s="57">
        <f t="shared" si="40"/>
        <v>-60.392375968485112</v>
      </c>
      <c r="G407" s="61">
        <f t="shared" si="42"/>
        <v>-7.7464995669604256E-2</v>
      </c>
      <c r="H407" s="10"/>
      <c r="I407" s="9"/>
      <c r="J407" s="29"/>
      <c r="K407" s="9"/>
      <c r="L407" s="11"/>
    </row>
    <row r="408" spans="1:12" ht="14.25" x14ac:dyDescent="0.3">
      <c r="A408" s="31"/>
      <c r="B408" s="40" t="s">
        <v>11</v>
      </c>
      <c r="C408" s="41">
        <v>2023</v>
      </c>
      <c r="D408" s="57">
        <v>785.46643314431901</v>
      </c>
      <c r="E408" s="57">
        <v>839.99979336884701</v>
      </c>
      <c r="F408" s="57">
        <f t="shared" si="40"/>
        <v>-54.533360224527996</v>
      </c>
      <c r="G408" s="61">
        <f t="shared" si="42"/>
        <v>-6.9427995804001746E-2</v>
      </c>
      <c r="H408" s="10"/>
      <c r="I408" s="9"/>
      <c r="J408" s="29"/>
      <c r="K408" s="9"/>
      <c r="L408" s="11"/>
    </row>
    <row r="409" spans="1:12" ht="14.25" x14ac:dyDescent="0.3">
      <c r="A409" s="31"/>
      <c r="B409" s="40" t="s">
        <v>14</v>
      </c>
      <c r="C409" s="41">
        <v>2023</v>
      </c>
      <c r="D409" s="57">
        <v>782.33603609481099</v>
      </c>
      <c r="E409" s="57">
        <v>840.00041944825603</v>
      </c>
      <c r="F409" s="57">
        <f t="shared" si="40"/>
        <v>-57.664383353445032</v>
      </c>
      <c r="G409" s="61">
        <f t="shared" si="42"/>
        <v>-7.3707947343559038E-2</v>
      </c>
      <c r="H409" s="10"/>
      <c r="I409" s="9"/>
      <c r="J409" s="29"/>
      <c r="K409" s="9"/>
      <c r="L409" s="11"/>
    </row>
    <row r="410" spans="1:12" ht="14.25" x14ac:dyDescent="0.3">
      <c r="A410" s="31"/>
      <c r="B410" s="40" t="s">
        <v>16</v>
      </c>
      <c r="C410" s="41">
        <v>2023</v>
      </c>
      <c r="D410" s="57">
        <v>784.01866068024196</v>
      </c>
      <c r="E410" s="57">
        <v>840.00008292333996</v>
      </c>
      <c r="F410" s="57">
        <f t="shared" si="40"/>
        <v>-55.981422243097995</v>
      </c>
      <c r="G410" s="61">
        <f t="shared" si="42"/>
        <v>-7.140317577967667E-2</v>
      </c>
      <c r="H410" s="10"/>
      <c r="I410" s="9"/>
      <c r="J410" s="29"/>
      <c r="K410" s="9"/>
      <c r="L410" s="11"/>
    </row>
    <row r="411" spans="1:12" ht="14.25" x14ac:dyDescent="0.3">
      <c r="A411" s="31"/>
      <c r="B411" s="40" t="s">
        <v>6</v>
      </c>
      <c r="C411" s="41">
        <v>2023</v>
      </c>
      <c r="D411" s="57">
        <v>784.65001782226204</v>
      </c>
      <c r="E411" s="57">
        <v>839.99995665191102</v>
      </c>
      <c r="F411" s="57">
        <f t="shared" si="40"/>
        <v>-55.349938829648977</v>
      </c>
      <c r="G411" s="61">
        <f t="shared" si="42"/>
        <v>-7.0540925982858743E-2</v>
      </c>
      <c r="H411" s="10"/>
      <c r="I411" s="9"/>
      <c r="J411" s="29"/>
      <c r="K411" s="9"/>
      <c r="L411" s="11"/>
    </row>
    <row r="412" spans="1:12" ht="14.25" x14ac:dyDescent="0.3">
      <c r="A412" s="13" t="s">
        <v>50</v>
      </c>
      <c r="B412" s="62" t="s">
        <v>17</v>
      </c>
      <c r="C412" s="63">
        <v>2023</v>
      </c>
      <c r="D412" s="64">
        <v>786.31223208228403</v>
      </c>
      <c r="E412" s="64">
        <v>839.99962420905899</v>
      </c>
      <c r="F412" s="64">
        <f t="shared" ref="F412:F440" si="43">+D412-E412</f>
        <v>-53.687392126774967</v>
      </c>
      <c r="G412" s="65">
        <f t="shared" ref="G412:G416" si="44">F412/D412</f>
        <v>-6.8277447477323255E-2</v>
      </c>
      <c r="H412" s="10"/>
      <c r="I412" s="9"/>
      <c r="J412" s="29"/>
      <c r="K412" s="9"/>
      <c r="L412" s="11"/>
    </row>
    <row r="413" spans="1:12" ht="14.25" x14ac:dyDescent="0.3">
      <c r="A413" s="13"/>
      <c r="B413" s="62" t="s">
        <v>9</v>
      </c>
      <c r="C413" s="63">
        <v>2024</v>
      </c>
      <c r="D413" s="64">
        <v>789.56794598418526</v>
      </c>
      <c r="E413" s="64">
        <v>858.6693730769141</v>
      </c>
      <c r="F413" s="64">
        <f t="shared" si="43"/>
        <v>-69.101427092728841</v>
      </c>
      <c r="G413" s="65">
        <f t="shared" si="44"/>
        <v>-8.7518024818744239E-2</v>
      </c>
      <c r="H413" s="10"/>
      <c r="I413" s="9"/>
      <c r="J413" s="29"/>
      <c r="K413" s="9"/>
      <c r="L413" s="11"/>
    </row>
    <row r="414" spans="1:12" ht="14.25" x14ac:dyDescent="0.3">
      <c r="A414" s="13"/>
      <c r="B414" s="62" t="s">
        <v>22</v>
      </c>
      <c r="C414" s="63">
        <v>2024</v>
      </c>
      <c r="D414" s="64">
        <v>791.08672789595835</v>
      </c>
      <c r="E414" s="64">
        <v>858.66906932053189</v>
      </c>
      <c r="F414" s="64">
        <f t="shared" si="43"/>
        <v>-67.582341424573542</v>
      </c>
      <c r="G414" s="65">
        <f t="shared" si="44"/>
        <v>-8.5429750040581884E-2</v>
      </c>
      <c r="H414" s="10"/>
      <c r="I414" s="9"/>
      <c r="J414" s="29"/>
      <c r="K414" s="9"/>
      <c r="L414" s="11"/>
    </row>
    <row r="415" spans="1:12" ht="14.25" x14ac:dyDescent="0.3">
      <c r="A415" s="13"/>
      <c r="B415" s="62" t="s">
        <v>10</v>
      </c>
      <c r="C415" s="63">
        <v>2024</v>
      </c>
      <c r="D415" s="64">
        <v>795.29811492643557</v>
      </c>
      <c r="E415" s="64">
        <v>858.66822704312608</v>
      </c>
      <c r="F415" s="64">
        <f t="shared" si="43"/>
        <v>-63.370112116690507</v>
      </c>
      <c r="G415" s="65">
        <f t="shared" si="44"/>
        <v>-7.9680953503268634E-2</v>
      </c>
      <c r="H415" s="10"/>
      <c r="I415" s="9"/>
      <c r="J415" s="29"/>
      <c r="K415" s="9"/>
      <c r="L415" s="11"/>
    </row>
    <row r="416" spans="1:12" ht="14.25" x14ac:dyDescent="0.3">
      <c r="A416" s="13"/>
      <c r="B416" s="62" t="s">
        <v>21</v>
      </c>
      <c r="C416" s="63">
        <v>2024</v>
      </c>
      <c r="D416" s="64">
        <v>797.69091289915707</v>
      </c>
      <c r="E416" s="64">
        <v>858.66774848353123</v>
      </c>
      <c r="F416" s="64">
        <f t="shared" si="43"/>
        <v>-60.976835584374157</v>
      </c>
      <c r="G416" s="65">
        <f t="shared" si="44"/>
        <v>-7.6441682609568296E-2</v>
      </c>
      <c r="H416" s="10"/>
      <c r="I416" s="9"/>
      <c r="J416" s="29"/>
      <c r="K416" s="9"/>
      <c r="L416" s="11"/>
    </row>
    <row r="417" spans="1:12" ht="14.25" x14ac:dyDescent="0.3">
      <c r="A417" s="13"/>
      <c r="B417" s="62" t="s">
        <v>15</v>
      </c>
      <c r="C417" s="63">
        <v>2024</v>
      </c>
      <c r="D417" s="64">
        <v>799.72824166333328</v>
      </c>
      <c r="E417" s="64">
        <v>858.66734101777854</v>
      </c>
      <c r="F417" s="64">
        <f t="shared" ref="F417:F439" si="45">+D417-E417</f>
        <v>-58.939099354445261</v>
      </c>
      <c r="G417" s="65">
        <f t="shared" ref="G417:G435" si="46">F417/D417</f>
        <v>-7.3698909559401587E-2</v>
      </c>
      <c r="H417" s="10"/>
      <c r="I417" s="9"/>
      <c r="J417" s="29"/>
      <c r="K417" s="9"/>
      <c r="L417" s="11"/>
    </row>
    <row r="418" spans="1:12" ht="14.25" x14ac:dyDescent="0.3">
      <c r="A418" s="13"/>
      <c r="B418" s="62" t="s">
        <v>12</v>
      </c>
      <c r="C418" s="63">
        <v>2024</v>
      </c>
      <c r="D418" s="64">
        <v>795.74825859465375</v>
      </c>
      <c r="E418" s="64">
        <v>858.66813701439253</v>
      </c>
      <c r="F418" s="64">
        <f t="shared" si="45"/>
        <v>-62.919878419738779</v>
      </c>
      <c r="G418" s="65">
        <f t="shared" si="46"/>
        <v>-7.9070079940683283E-2</v>
      </c>
      <c r="H418" s="10"/>
      <c r="I418" s="9"/>
      <c r="J418" s="29"/>
      <c r="K418" s="9"/>
      <c r="L418" s="11"/>
    </row>
    <row r="419" spans="1:12" ht="14.25" x14ac:dyDescent="0.3">
      <c r="A419" s="13"/>
      <c r="B419" s="62" t="s">
        <v>7</v>
      </c>
      <c r="C419" s="63">
        <v>2024</v>
      </c>
      <c r="D419" s="64">
        <v>798.00291029288496</v>
      </c>
      <c r="E419" s="64">
        <v>858.66768608405243</v>
      </c>
      <c r="F419" s="64">
        <f t="shared" si="45"/>
        <v>-60.664775791167472</v>
      </c>
      <c r="G419" s="65">
        <f t="shared" si="46"/>
        <v>-7.6020745048288277E-2</v>
      </c>
      <c r="H419" s="10"/>
      <c r="I419" s="9"/>
      <c r="J419" s="29"/>
      <c r="K419" s="9"/>
      <c r="L419" s="11"/>
    </row>
    <row r="420" spans="1:12" ht="14.25" x14ac:dyDescent="0.3">
      <c r="A420" s="13"/>
      <c r="B420" s="62" t="s">
        <v>11</v>
      </c>
      <c r="C420" s="63">
        <v>2024</v>
      </c>
      <c r="D420" s="64">
        <v>800.10320523025428</v>
      </c>
      <c r="E420" s="64">
        <v>858.66726602506515</v>
      </c>
      <c r="F420" s="64">
        <f t="shared" si="45"/>
        <v>-58.564060794810871</v>
      </c>
      <c r="G420" s="65">
        <f t="shared" si="46"/>
        <v>-7.3195633278280978E-2</v>
      </c>
      <c r="H420" s="10"/>
      <c r="I420" s="9"/>
      <c r="J420" s="29"/>
      <c r="K420" s="9"/>
      <c r="L420" s="11"/>
    </row>
    <row r="421" spans="1:12" ht="14.25" x14ac:dyDescent="0.3">
      <c r="A421" s="13"/>
      <c r="B421" s="62" t="s">
        <v>14</v>
      </c>
      <c r="C421" s="63">
        <v>2024</v>
      </c>
      <c r="D421" s="64">
        <v>803.82415785739227</v>
      </c>
      <c r="E421" s="64">
        <v>858.66652183453925</v>
      </c>
      <c r="F421" s="64">
        <f t="shared" si="45"/>
        <v>-54.842363977146988</v>
      </c>
      <c r="G421" s="65">
        <f t="shared" si="46"/>
        <v>-6.8226817322000241E-2</v>
      </c>
      <c r="H421" s="10"/>
      <c r="I421" s="9"/>
      <c r="J421" s="29"/>
      <c r="K421" s="9"/>
      <c r="L421" s="11"/>
    </row>
    <row r="422" spans="1:12" ht="14.25" x14ac:dyDescent="0.3">
      <c r="A422" s="13"/>
      <c r="B422" s="62" t="s">
        <v>16</v>
      </c>
      <c r="C422" s="63">
        <v>2024</v>
      </c>
      <c r="D422" s="64">
        <v>805.03991550277283</v>
      </c>
      <c r="E422" s="64">
        <v>858.66627868300975</v>
      </c>
      <c r="F422" s="64">
        <f t="shared" si="45"/>
        <v>-53.626363180236922</v>
      </c>
      <c r="G422" s="65">
        <f t="shared" si="46"/>
        <v>-6.6613297238492283E-2</v>
      </c>
      <c r="H422" s="10"/>
      <c r="I422" s="9"/>
      <c r="J422" s="29"/>
      <c r="K422" s="9"/>
      <c r="L422" s="11"/>
    </row>
    <row r="423" spans="1:12" ht="14.25" x14ac:dyDescent="0.3">
      <c r="A423" s="13"/>
      <c r="B423" s="62" t="s">
        <v>6</v>
      </c>
      <c r="C423" s="63">
        <v>2024</v>
      </c>
      <c r="D423" s="64">
        <v>804.78661380848916</v>
      </c>
      <c r="E423" s="64">
        <v>858.66632934334973</v>
      </c>
      <c r="F423" s="64">
        <f t="shared" si="45"/>
        <v>-53.879715534860566</v>
      </c>
      <c r="G423" s="65">
        <f t="shared" si="46"/>
        <v>-6.694907023848938E-2</v>
      </c>
      <c r="H423" s="10"/>
      <c r="I423" s="9"/>
      <c r="J423" s="29"/>
      <c r="K423" s="9"/>
      <c r="L423" s="11"/>
    </row>
    <row r="424" spans="1:12" ht="14.25" x14ac:dyDescent="0.3">
      <c r="A424" s="13"/>
      <c r="B424" s="62" t="s">
        <v>17</v>
      </c>
      <c r="C424" s="63">
        <v>2024</v>
      </c>
      <c r="D424" s="64">
        <v>797.96679172444965</v>
      </c>
      <c r="E424" s="64">
        <v>858.66769330776606</v>
      </c>
      <c r="F424" s="64">
        <f t="shared" si="45"/>
        <v>-60.700901583316409</v>
      </c>
      <c r="G424" s="65">
        <f t="shared" si="46"/>
        <v>-7.606945829429626E-2</v>
      </c>
      <c r="H424" s="10"/>
      <c r="I424" s="9"/>
      <c r="J424" s="29"/>
      <c r="K424" s="9"/>
      <c r="L424" s="11"/>
    </row>
    <row r="425" spans="1:12" ht="14.25" x14ac:dyDescent="0.3">
      <c r="A425" s="13"/>
      <c r="B425" s="62" t="s">
        <v>9</v>
      </c>
      <c r="C425" s="63">
        <v>2025</v>
      </c>
      <c r="D425" s="64">
        <v>798.30807415530523</v>
      </c>
      <c r="E425" s="64">
        <v>877.33000000000015</v>
      </c>
      <c r="F425" s="64">
        <f t="shared" si="45"/>
        <v>-79.02192584469492</v>
      </c>
      <c r="G425" s="65">
        <f t="shared" si="46"/>
        <v>-9.8986755117450753E-2</v>
      </c>
      <c r="H425" s="10"/>
      <c r="I425" s="9"/>
      <c r="J425" s="29"/>
      <c r="K425" s="9"/>
      <c r="L425" s="11"/>
    </row>
    <row r="426" spans="1:12" ht="14.25" x14ac:dyDescent="0.3">
      <c r="A426" s="13"/>
      <c r="B426" s="62" t="s">
        <v>22</v>
      </c>
      <c r="C426" s="63">
        <v>2025</v>
      </c>
      <c r="D426" s="64">
        <v>797.07247677775445</v>
      </c>
      <c r="E426" s="64">
        <v>877.33000000000015</v>
      </c>
      <c r="F426" s="64">
        <f t="shared" si="45"/>
        <v>-80.257523222245709</v>
      </c>
      <c r="G426" s="65">
        <f t="shared" si="46"/>
        <v>-0.10069037077618689</v>
      </c>
      <c r="H426" s="10"/>
      <c r="I426" s="9"/>
      <c r="J426" s="29"/>
      <c r="K426" s="9"/>
      <c r="L426" s="11"/>
    </row>
    <row r="427" spans="1:12" ht="14.25" x14ac:dyDescent="0.3">
      <c r="A427" s="13"/>
      <c r="B427" s="62" t="s">
        <v>10</v>
      </c>
      <c r="C427" s="63">
        <v>2025</v>
      </c>
      <c r="D427" s="64">
        <v>800.59824979090092</v>
      </c>
      <c r="E427" s="64">
        <v>877.33000000000015</v>
      </c>
      <c r="F427" s="64">
        <f t="shared" si="45"/>
        <v>-76.731750209099232</v>
      </c>
      <c r="G427" s="65">
        <f t="shared" si="46"/>
        <v>-9.5843015181634378E-2</v>
      </c>
      <c r="H427" s="10"/>
      <c r="I427" s="9"/>
      <c r="J427" s="29"/>
      <c r="K427" s="9"/>
      <c r="L427" s="11"/>
    </row>
    <row r="428" spans="1:12" ht="14.25" x14ac:dyDescent="0.3">
      <c r="A428" s="13"/>
      <c r="B428" s="62" t="s">
        <v>21</v>
      </c>
      <c r="C428" s="63">
        <v>2025</v>
      </c>
      <c r="D428" s="64">
        <v>802.58129403159103</v>
      </c>
      <c r="E428" s="64">
        <v>877.33000000000015</v>
      </c>
      <c r="F428" s="64">
        <f t="shared" si="45"/>
        <v>-74.748705968409126</v>
      </c>
      <c r="G428" s="65">
        <f t="shared" si="46"/>
        <v>-9.3135370241343912E-2</v>
      </c>
      <c r="H428" s="10"/>
      <c r="I428" s="9"/>
      <c r="J428" s="29"/>
      <c r="K428" s="9"/>
      <c r="L428" s="11"/>
    </row>
    <row r="429" spans="1:12" ht="14.25" x14ac:dyDescent="0.3">
      <c r="A429" s="13"/>
      <c r="B429" s="62" t="s">
        <v>15</v>
      </c>
      <c r="C429" s="63">
        <v>2025</v>
      </c>
      <c r="D429" s="64">
        <v>812.29921890258049</v>
      </c>
      <c r="E429" s="64">
        <v>877.33000000000015</v>
      </c>
      <c r="F429" s="64">
        <f t="shared" si="45"/>
        <v>-65.030781097419663</v>
      </c>
      <c r="G429" s="65">
        <f t="shared" si="46"/>
        <v>-8.0057667893952314E-2</v>
      </c>
      <c r="H429" s="10"/>
      <c r="I429" s="9"/>
      <c r="J429" s="29"/>
      <c r="K429" s="9"/>
      <c r="L429" s="11"/>
    </row>
    <row r="430" spans="1:12" ht="14.25" x14ac:dyDescent="0.3">
      <c r="A430" s="13"/>
      <c r="B430" s="62" t="s">
        <v>12</v>
      </c>
      <c r="C430" s="63">
        <v>2025</v>
      </c>
      <c r="D430" s="64">
        <v>812.63695708985995</v>
      </c>
      <c r="E430" s="64">
        <v>877.33000000000015</v>
      </c>
      <c r="F430" s="64">
        <f t="shared" si="45"/>
        <v>-64.693042910140207</v>
      </c>
      <c r="G430" s="65">
        <f t="shared" si="46"/>
        <v>-7.9608787596632244E-2</v>
      </c>
      <c r="H430" s="10"/>
      <c r="I430" s="9"/>
      <c r="J430" s="29"/>
      <c r="K430" s="9"/>
      <c r="L430" s="11"/>
    </row>
    <row r="431" spans="1:12" ht="14.25" x14ac:dyDescent="0.3">
      <c r="A431" s="13"/>
      <c r="B431" s="62" t="s">
        <v>7</v>
      </c>
      <c r="C431" s="63">
        <v>2025</v>
      </c>
      <c r="D431" s="64">
        <v>813.81634844869814</v>
      </c>
      <c r="E431" s="64">
        <v>877.33000000000015</v>
      </c>
      <c r="F431" s="64">
        <f t="shared" si="45"/>
        <v>-63.513651551302019</v>
      </c>
      <c r="G431" s="65">
        <f t="shared" si="46"/>
        <v>-7.8044206991383425E-2</v>
      </c>
      <c r="H431" s="10"/>
      <c r="I431" s="9"/>
      <c r="J431" s="29"/>
      <c r="K431" s="9"/>
      <c r="L431" s="11"/>
    </row>
    <row r="432" spans="1:12" ht="14.25" x14ac:dyDescent="0.3">
      <c r="A432" s="13"/>
      <c r="B432" s="62" t="s">
        <v>11</v>
      </c>
      <c r="C432" s="63">
        <v>2025</v>
      </c>
      <c r="D432" s="64">
        <v>813.88304492373265</v>
      </c>
      <c r="E432" s="64">
        <v>877.33000000000015</v>
      </c>
      <c r="F432" s="64">
        <f t="shared" si="45"/>
        <v>-63.4469550762675</v>
      </c>
      <c r="G432" s="65">
        <f t="shared" si="46"/>
        <v>-7.7955862911744264E-2</v>
      </c>
      <c r="H432" s="10"/>
      <c r="I432" s="9"/>
      <c r="J432" s="29"/>
      <c r="K432" s="9"/>
      <c r="L432" s="11"/>
    </row>
    <row r="433" spans="1:12" ht="14.25" x14ac:dyDescent="0.3">
      <c r="A433" s="13"/>
      <c r="B433" s="62" t="s">
        <v>14</v>
      </c>
      <c r="C433" s="63">
        <v>2025</v>
      </c>
      <c r="D433" s="64">
        <v>819.77005981314699</v>
      </c>
      <c r="E433" s="64">
        <v>877.33000000000015</v>
      </c>
      <c r="F433" s="64">
        <f t="shared" si="45"/>
        <v>-57.559940186853169</v>
      </c>
      <c r="G433" s="65">
        <f t="shared" si="46"/>
        <v>-7.0214738264499449E-2</v>
      </c>
      <c r="H433" s="10"/>
      <c r="I433" s="9"/>
      <c r="J433" s="29"/>
      <c r="K433" s="9"/>
      <c r="L433" s="11"/>
    </row>
    <row r="434" spans="1:12" ht="14.25" x14ac:dyDescent="0.3">
      <c r="A434" s="13"/>
      <c r="B434" s="62" t="s">
        <v>16</v>
      </c>
      <c r="C434" s="63">
        <v>2025</v>
      </c>
      <c r="D434" s="64">
        <v>823.21878756707792</v>
      </c>
      <c r="E434" s="64">
        <v>877.33000000000015</v>
      </c>
      <c r="F434" s="64">
        <f t="shared" si="45"/>
        <v>-54.11121243292223</v>
      </c>
      <c r="G434" s="65">
        <f t="shared" si="46"/>
        <v>-6.5731265187522356E-2</v>
      </c>
      <c r="H434" s="10"/>
      <c r="I434" s="9"/>
      <c r="J434" s="29"/>
      <c r="K434" s="9"/>
      <c r="L434" s="11"/>
    </row>
    <row r="435" spans="1:12" ht="14.25" x14ac:dyDescent="0.3">
      <c r="A435" s="13"/>
      <c r="B435" s="62" t="s">
        <v>6</v>
      </c>
      <c r="C435" s="63">
        <v>2025</v>
      </c>
      <c r="D435" s="64">
        <v>821.06144888515439</v>
      </c>
      <c r="E435" s="64">
        <v>877.33000000000015</v>
      </c>
      <c r="F435" s="64">
        <f t="shared" si="45"/>
        <v>-56.268551114845764</v>
      </c>
      <c r="G435" s="65">
        <f t="shared" si="46"/>
        <v>-6.8531473729825917E-2</v>
      </c>
      <c r="H435" s="10"/>
      <c r="I435" s="9"/>
      <c r="J435" s="29"/>
      <c r="K435" s="9"/>
      <c r="L435" s="11"/>
    </row>
    <row r="436" spans="1:12" ht="14.25" x14ac:dyDescent="0.3">
      <c r="A436" s="13"/>
      <c r="B436" s="62" t="s">
        <v>17</v>
      </c>
      <c r="C436" s="63">
        <v>2025</v>
      </c>
      <c r="D436" s="64">
        <v>819.01392169990095</v>
      </c>
      <c r="E436" s="64">
        <v>877.33000000000015</v>
      </c>
      <c r="F436" s="64">
        <f t="shared" si="45"/>
        <v>-58.316078300099207</v>
      </c>
      <c r="G436" s="65">
        <f>F436/D436</f>
        <v>-7.12027924739808E-2</v>
      </c>
      <c r="H436" s="10"/>
      <c r="I436" s="9"/>
      <c r="J436" s="29"/>
      <c r="K436" s="9"/>
      <c r="L436" s="11"/>
    </row>
    <row r="437" spans="1:12" ht="14.25" x14ac:dyDescent="0.3">
      <c r="A437" s="13"/>
      <c r="B437" s="62" t="s">
        <v>9</v>
      </c>
      <c r="C437" s="63">
        <v>2026</v>
      </c>
      <c r="D437" s="64">
        <v>821.79911864513235</v>
      </c>
      <c r="E437" s="64">
        <v>899.72999999999979</v>
      </c>
      <c r="F437" s="64">
        <f t="shared" si="45"/>
        <v>-77.930881354867438</v>
      </c>
      <c r="G437" s="65">
        <f>F437/D437</f>
        <v>-9.4829599578238777E-2</v>
      </c>
      <c r="H437" s="10"/>
      <c r="I437" s="9"/>
      <c r="J437" s="29"/>
      <c r="K437" s="9"/>
      <c r="L437" s="11"/>
    </row>
    <row r="438" spans="1:12" ht="14.25" x14ac:dyDescent="0.3">
      <c r="A438" s="13"/>
      <c r="B438" s="62" t="s">
        <v>22</v>
      </c>
      <c r="C438" s="63">
        <v>2026</v>
      </c>
      <c r="D438" s="64">
        <v>824.17033759078015</v>
      </c>
      <c r="E438" s="64">
        <v>899.72999999999979</v>
      </c>
      <c r="F438" s="64">
        <f t="shared" si="45"/>
        <v>-75.559662409219641</v>
      </c>
      <c r="G438" s="65">
        <f>F438/D438</f>
        <v>-9.1679667373247273E-2</v>
      </c>
      <c r="H438" s="10"/>
      <c r="I438" s="9"/>
      <c r="J438" s="29"/>
      <c r="K438" s="9"/>
      <c r="L438" s="11"/>
    </row>
    <row r="439" spans="1:12" ht="14.25" x14ac:dyDescent="0.3">
      <c r="A439" s="13"/>
      <c r="B439" s="62" t="s">
        <v>10</v>
      </c>
      <c r="C439" s="63">
        <v>2026</v>
      </c>
      <c r="D439" s="64">
        <v>829.38343805861427</v>
      </c>
      <c r="E439" s="64">
        <v>899.72999999999979</v>
      </c>
      <c r="F439" s="64">
        <f t="shared" si="45"/>
        <v>-70.346561941385517</v>
      </c>
      <c r="G439" s="65">
        <f>F439/D439</f>
        <v>-8.4817900519028669E-2</v>
      </c>
      <c r="H439" s="10"/>
      <c r="I439" s="9"/>
      <c r="J439" s="29"/>
      <c r="K439" s="9"/>
      <c r="L439" s="11"/>
    </row>
    <row r="440" spans="1:12" ht="15" thickBot="1" x14ac:dyDescent="0.35">
      <c r="A440" s="30"/>
      <c r="B440" s="66" t="s">
        <v>21</v>
      </c>
      <c r="C440" s="67">
        <v>2026</v>
      </c>
      <c r="D440" s="68">
        <v>828.97333792477548</v>
      </c>
      <c r="E440" s="68">
        <v>899.72999999999979</v>
      </c>
      <c r="F440" s="68">
        <f t="shared" si="43"/>
        <v>-70.756662075224313</v>
      </c>
      <c r="G440" s="69">
        <f>F440/D440</f>
        <v>-8.5354569125653923E-2</v>
      </c>
      <c r="H440" s="10"/>
      <c r="I440" s="9"/>
      <c r="J440" s="29"/>
      <c r="K440" s="9"/>
      <c r="L440" s="11"/>
    </row>
    <row r="441" spans="1:12" ht="26.25" x14ac:dyDescent="0.35">
      <c r="A441" s="14"/>
      <c r="B441" s="15"/>
      <c r="C441" s="16"/>
      <c r="D441" s="17"/>
      <c r="E441" s="17"/>
      <c r="F441" s="17"/>
      <c r="G441" s="18"/>
      <c r="H441" s="10"/>
      <c r="J441" s="28"/>
      <c r="K441" s="9"/>
      <c r="L441" s="11"/>
    </row>
    <row r="442" spans="1:12" x14ac:dyDescent="0.25">
      <c r="A442" s="27" t="s">
        <v>45</v>
      </c>
      <c r="B442" s="15"/>
      <c r="C442" s="16"/>
      <c r="D442" s="17"/>
      <c r="E442" s="17"/>
      <c r="F442" s="17"/>
      <c r="G442" s="18"/>
      <c r="H442" s="10"/>
      <c r="J442" s="7"/>
      <c r="K442" s="9"/>
      <c r="L442" s="11"/>
    </row>
    <row r="443" spans="1:12" x14ac:dyDescent="0.25">
      <c r="A443" s="19"/>
      <c r="B443" s="20"/>
      <c r="C443" s="21"/>
      <c r="D443" s="22"/>
      <c r="E443" s="22"/>
      <c r="F443" s="22"/>
      <c r="G443" s="23"/>
      <c r="H443" s="10"/>
      <c r="J443" s="7"/>
      <c r="K443" s="9"/>
      <c r="L443" s="11"/>
    </row>
    <row r="444" spans="1:12" x14ac:dyDescent="0.25">
      <c r="A444" s="19"/>
    </row>
    <row r="445" spans="1:12" x14ac:dyDescent="0.25">
      <c r="A445" s="24"/>
    </row>
    <row r="446" spans="1:12" x14ac:dyDescent="0.25">
      <c r="A446" s="25"/>
      <c r="D446" s="9"/>
      <c r="E446" s="9"/>
      <c r="F446" s="9"/>
      <c r="G446" s="10"/>
    </row>
    <row r="447" spans="1:12" ht="17.45" customHeight="1" x14ac:dyDescent="0.25">
      <c r="A447" s="25"/>
    </row>
    <row r="448" spans="1:12" ht="14.25" x14ac:dyDescent="0.3">
      <c r="A448" s="39" t="s">
        <v>51</v>
      </c>
    </row>
    <row r="450" spans="1:1" x14ac:dyDescent="0.25">
      <c r="A450" s="37" t="s">
        <v>46</v>
      </c>
    </row>
    <row r="451" spans="1:1" x14ac:dyDescent="0.25">
      <c r="A451" s="38" t="s">
        <v>52</v>
      </c>
    </row>
    <row r="452" spans="1:1" x14ac:dyDescent="0.25">
      <c r="A452" s="38" t="s">
        <v>53</v>
      </c>
    </row>
    <row r="453" spans="1:1" x14ac:dyDescent="0.25">
      <c r="A453" s="38" t="s">
        <v>54</v>
      </c>
    </row>
  </sheetData>
  <mergeCells count="9"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SERIE BÁSICA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2023-11-30T17:33:48Z</cp:lastPrinted>
  <dcterms:created xsi:type="dcterms:W3CDTF">2015-02-04T14:45:26Z</dcterms:created>
  <dcterms:modified xsi:type="dcterms:W3CDTF">2026-04-29T20:54:15Z</dcterms:modified>
</cp:coreProperties>
</file>