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6" windowWidth="20736" windowHeight="11700" activeTab="0"/>
  </bookViews>
  <sheets>
    <sheet name="SERIE BÁSICA" sheetId="1" r:id="rId1"/>
  </sheets>
  <definedNames/>
  <calcPr fullCalcOnLoad="1"/>
</workbook>
</file>

<file path=xl/comments1.xml><?xml version="1.0" encoding="utf-8"?>
<comments xmlns="http://schemas.openxmlformats.org/spreadsheetml/2006/main">
  <authors>
    <author>INEC Coraz?n Vera</author>
    <author>INEC Diana Barco</author>
    <author>INEC Eduardo Prado</author>
  </authors>
  <commentList>
    <comment ref="F293" authorId="0">
      <text>
        <r>
          <rPr>
            <b/>
            <sz val="9"/>
            <rFont val="Tahoma"/>
            <family val="2"/>
          </rPr>
          <t>excedente en el consumo</t>
        </r>
      </text>
    </comment>
    <comment ref="F294" authorId="0">
      <text>
        <r>
          <rPr>
            <b/>
            <sz val="9"/>
            <rFont val="Tahoma"/>
            <family val="2"/>
          </rPr>
          <t>excedente en el consumo</t>
        </r>
      </text>
    </comment>
    <comment ref="F295" authorId="0">
      <text>
        <r>
          <rPr>
            <b/>
            <sz val="9"/>
            <rFont val="Tahoma"/>
            <family val="2"/>
          </rPr>
          <t>excedente en el consumo</t>
        </r>
      </text>
    </comment>
    <comment ref="F296" authorId="0">
      <text>
        <r>
          <rPr>
            <b/>
            <sz val="9"/>
            <rFont val="Tahoma"/>
            <family val="2"/>
          </rPr>
          <t>excedente en el consumo</t>
        </r>
      </text>
    </comment>
    <comment ref="F297" authorId="0">
      <text>
        <r>
          <rPr>
            <b/>
            <sz val="9"/>
            <rFont val="Tahoma"/>
            <family val="2"/>
          </rPr>
          <t>excedente en el consumo</t>
        </r>
      </text>
    </comment>
    <comment ref="F305" authorId="1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06" authorId="1">
      <text>
        <r>
          <rPr>
            <b/>
            <sz val="9"/>
            <rFont val="Tahoma"/>
            <family val="2"/>
          </rPr>
          <t>excedente en el consumo</t>
        </r>
      </text>
    </comment>
    <comment ref="F307" authorId="1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17" authorId="1">
      <text>
        <r>
          <rPr>
            <b/>
            <sz val="9"/>
            <rFont val="Tahoma"/>
            <family val="2"/>
          </rPr>
          <t xml:space="preserve">excedente en el consumo
</t>
        </r>
        <r>
          <rPr>
            <sz val="9"/>
            <rFont val="Tahoma"/>
            <family val="2"/>
          </rPr>
          <t xml:space="preserve">
</t>
        </r>
      </text>
    </comment>
    <comment ref="F318" authorId="1">
      <text>
        <r>
          <rPr>
            <b/>
            <sz val="9"/>
            <rFont val="Tahoma"/>
            <family val="2"/>
          </rPr>
          <t xml:space="preserve">excedente en el consumo
</t>
        </r>
        <r>
          <rPr>
            <sz val="9"/>
            <rFont val="Tahoma"/>
            <family val="2"/>
          </rPr>
          <t xml:space="preserve">
</t>
        </r>
      </text>
    </comment>
    <comment ref="F319" authorId="1">
      <text>
        <r>
          <rPr>
            <b/>
            <sz val="9"/>
            <rFont val="Tahoma"/>
            <family val="2"/>
          </rPr>
          <t xml:space="preserve">excedente en el consumo
</t>
        </r>
        <r>
          <rPr>
            <sz val="9"/>
            <rFont val="Tahoma"/>
            <family val="2"/>
          </rPr>
          <t xml:space="preserve">
</t>
        </r>
      </text>
    </comment>
    <comment ref="F320" authorId="1">
      <text>
        <r>
          <rPr>
            <b/>
            <sz val="9"/>
            <rFont val="Tahoma"/>
            <family val="2"/>
          </rPr>
          <t xml:space="preserve">excedente en el consumo
</t>
        </r>
        <r>
          <rPr>
            <sz val="9"/>
            <rFont val="Tahoma"/>
            <family val="2"/>
          </rPr>
          <t xml:space="preserve">
</t>
        </r>
      </text>
    </comment>
    <comment ref="F341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42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43" authorId="2">
      <text>
        <r>
          <rPr>
            <b/>
            <sz val="9"/>
            <rFont val="Tahoma"/>
            <family val="2"/>
          </rPr>
          <t>excedente en el consumo</t>
        </r>
      </text>
    </comment>
    <comment ref="F344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45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46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47" authorId="2">
      <text>
        <r>
          <rPr>
            <b/>
            <sz val="9"/>
            <rFont val="Tahoma"/>
            <family val="2"/>
          </rPr>
          <t>excedente en el consumo</t>
        </r>
      </text>
    </comment>
    <comment ref="F348" authorId="1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49" authorId="1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50" authorId="1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51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52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53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54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55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56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57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58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59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60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61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62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63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64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<sst xmlns="http://schemas.openxmlformats.org/spreadsheetml/2006/main" count="380" uniqueCount="53">
  <si>
    <t xml:space="preserve">CANASTA FAMILIAR BÁSICA </t>
  </si>
  <si>
    <t xml:space="preserve">BASE: Noviembre de 1982 = 100 </t>
  </si>
  <si>
    <t>GOBIERNOS</t>
  </si>
  <si>
    <t>MESES</t>
  </si>
  <si>
    <t>AÑOS</t>
  </si>
  <si>
    <t>Roldós-Hurtado</t>
  </si>
  <si>
    <t>Noviembre</t>
  </si>
  <si>
    <t>Julio</t>
  </si>
  <si>
    <t>León Febres Cordero</t>
  </si>
  <si>
    <t>Enero</t>
  </si>
  <si>
    <t>Marzo</t>
  </si>
  <si>
    <t>Agosto</t>
  </si>
  <si>
    <t>Junio</t>
  </si>
  <si>
    <t>Rodrigo Borja</t>
  </si>
  <si>
    <t>Septiembre</t>
  </si>
  <si>
    <t>Mayo</t>
  </si>
  <si>
    <t>Octubre</t>
  </si>
  <si>
    <t>Diciembre</t>
  </si>
  <si>
    <t xml:space="preserve">Enero   </t>
  </si>
  <si>
    <t xml:space="preserve">Febrero   </t>
  </si>
  <si>
    <t xml:space="preserve">Marzo   </t>
  </si>
  <si>
    <t>Abril</t>
  </si>
  <si>
    <t>Febrero</t>
  </si>
  <si>
    <t>Sixto Durán Ballén</t>
  </si>
  <si>
    <t>Abdalá Bucarám O.</t>
  </si>
  <si>
    <t>Fabián Alarcón R.</t>
  </si>
  <si>
    <t>Jamil Mahuad W.</t>
  </si>
  <si>
    <t>Gustavo Noboa B.</t>
  </si>
  <si>
    <t xml:space="preserve">Mayo    </t>
  </si>
  <si>
    <t xml:space="preserve">Junio    </t>
  </si>
  <si>
    <t>Julio*</t>
  </si>
  <si>
    <t xml:space="preserve">Agosto  </t>
  </si>
  <si>
    <t xml:space="preserve">Septiembre </t>
  </si>
  <si>
    <t xml:space="preserve">Octubre  </t>
  </si>
  <si>
    <t xml:space="preserve">Noviembre  </t>
  </si>
  <si>
    <t xml:space="preserve">Diciembre  </t>
  </si>
  <si>
    <t>Lúcio Gutierrez B.</t>
  </si>
  <si>
    <t xml:space="preserve">Enero </t>
  </si>
  <si>
    <t>Alfredo Palacio</t>
  </si>
  <si>
    <t>Rafael Correa</t>
  </si>
  <si>
    <t>Enero**</t>
  </si>
  <si>
    <t>Lenín Moreno</t>
  </si>
  <si>
    <t>COSTO CANASTA BÁSICA (dólares)</t>
  </si>
  <si>
    <t>INGRESO FAMILIAR MENSUAL*** (dólares)</t>
  </si>
  <si>
    <t xml:space="preserve">Abril </t>
  </si>
  <si>
    <t>Notas:</t>
  </si>
  <si>
    <r>
      <rPr>
        <b/>
        <sz val="10"/>
        <rFont val="Century Gothic"/>
        <family val="2"/>
      </rPr>
      <t xml:space="preserve">Fuente: </t>
    </r>
    <r>
      <rPr>
        <sz val="10"/>
        <rFont val="Century Gothic"/>
        <family val="2"/>
      </rPr>
      <t>Canasta Familiar Básica</t>
    </r>
  </si>
  <si>
    <t>Realizadores:</t>
  </si>
  <si>
    <t>Aprobación: Darío Vélez</t>
  </si>
  <si>
    <t>Elaboración: Eduardo Prado</t>
  </si>
  <si>
    <t>RESTRICCIÓN / EXCENDENTE (porcentual)</t>
  </si>
  <si>
    <t>RESTRICCIÓN / EXCEDENTE EN EL CONSUMO (costo-ingreso) (dólares)</t>
  </si>
  <si>
    <t xml:space="preserve">Revisión: Diana Barco 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</si>
</sst>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0"/>
    <numFmt numFmtId="165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entury Gothic"/>
      <family val="2"/>
    </font>
    <font>
      <b/>
      <sz val="16"/>
      <color indexed="8"/>
      <name val="Century Gothic"/>
      <family val="2"/>
    </font>
    <font>
      <b/>
      <sz val="10"/>
      <color indexed="63"/>
      <name val="Century Gothic"/>
      <family val="2"/>
    </font>
    <font>
      <sz val="8"/>
      <color indexed="8"/>
      <name val="Century Gothic"/>
      <family val="0"/>
    </font>
    <font>
      <sz val="7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entury Gothic"/>
      <family val="2"/>
    </font>
    <font>
      <b/>
      <sz val="16"/>
      <color theme="1"/>
      <name val="Century Gothic"/>
      <family val="2"/>
    </font>
    <font>
      <b/>
      <sz val="10"/>
      <color theme="1" tint="0.24998000264167786"/>
      <name val="Century Gothic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theme="3"/>
      </right>
      <top>
        <color indexed="63"/>
      </top>
      <bottom style="medium"/>
    </border>
    <border>
      <left style="thin">
        <color theme="3"/>
      </left>
      <right style="thin">
        <color theme="3"/>
      </right>
      <top>
        <color indexed="63"/>
      </top>
      <bottom style="medium"/>
    </border>
    <border>
      <left style="thin">
        <color theme="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>
        <color theme="3"/>
      </right>
      <top style="medium"/>
      <bottom>
        <color indexed="63"/>
      </bottom>
    </border>
    <border>
      <left style="thin">
        <color theme="3"/>
      </left>
      <right style="thin">
        <color theme="3"/>
      </right>
      <top style="medium"/>
      <bottom>
        <color indexed="63"/>
      </bottom>
    </border>
    <border>
      <left style="thin">
        <color theme="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/>
    </xf>
    <xf numFmtId="165" fontId="4" fillId="0" borderId="12" xfId="53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/>
    </xf>
    <xf numFmtId="165" fontId="4" fillId="33" borderId="12" xfId="53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165" fontId="6" fillId="33" borderId="12" xfId="53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0" fontId="5" fillId="0" borderId="10" xfId="0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165" fontId="6" fillId="0" borderId="12" xfId="53" applyNumberFormat="1" applyFont="1" applyFill="1" applyBorder="1" applyAlignment="1">
      <alignment horizontal="center"/>
    </xf>
    <xf numFmtId="10" fontId="6" fillId="0" borderId="12" xfId="53" applyNumberFormat="1" applyFont="1" applyFill="1" applyBorder="1" applyAlignment="1">
      <alignment horizontal="center"/>
    </xf>
    <xf numFmtId="2" fontId="4" fillId="0" borderId="0" xfId="0" applyNumberFormat="1" applyFont="1" applyAlignment="1">
      <alignment/>
    </xf>
    <xf numFmtId="10" fontId="4" fillId="0" borderId="0" xfId="53" applyNumberFormat="1" applyFont="1" applyAlignment="1">
      <alignment/>
    </xf>
    <xf numFmtId="10" fontId="4" fillId="0" borderId="0" xfId="0" applyNumberFormat="1" applyFont="1" applyAlignment="1">
      <alignment/>
    </xf>
    <xf numFmtId="0" fontId="5" fillId="34" borderId="13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2" fontId="4" fillId="34" borderId="11" xfId="0" applyNumberFormat="1" applyFont="1" applyFill="1" applyBorder="1" applyAlignment="1">
      <alignment/>
    </xf>
    <xf numFmtId="10" fontId="6" fillId="34" borderId="12" xfId="53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5" xfId="0" applyFont="1" applyFill="1" applyBorder="1" applyAlignment="1">
      <alignment horizontal="center"/>
    </xf>
    <xf numFmtId="2" fontId="4" fillId="34" borderId="15" xfId="0" applyNumberFormat="1" applyFont="1" applyFill="1" applyBorder="1" applyAlignment="1">
      <alignment/>
    </xf>
    <xf numFmtId="10" fontId="6" fillId="34" borderId="16" xfId="53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/>
    </xf>
    <xf numFmtId="10" fontId="6" fillId="34" borderId="0" xfId="53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10" fontId="6" fillId="0" borderId="0" xfId="53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4" fillId="0" borderId="0" xfId="0" applyFont="1" applyFill="1" applyAlignment="1">
      <alignment/>
    </xf>
    <xf numFmtId="0" fontId="47" fillId="34" borderId="0" xfId="0" applyFont="1" applyFill="1" applyBorder="1" applyAlignment="1">
      <alignment horizontal="center" wrapText="1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1" fontId="5" fillId="35" borderId="19" xfId="0" applyNumberFormat="1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1" xfId="0" applyFont="1" applyFill="1" applyBorder="1" applyAlignment="1">
      <alignment horizontal="center"/>
    </xf>
    <xf numFmtId="4" fontId="4" fillId="35" borderId="11" xfId="0" applyNumberFormat="1" applyFont="1" applyFill="1" applyBorder="1" applyAlignment="1">
      <alignment/>
    </xf>
    <xf numFmtId="165" fontId="4" fillId="35" borderId="12" xfId="53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 horizontal="left"/>
    </xf>
    <xf numFmtId="165" fontId="6" fillId="35" borderId="12" xfId="53" applyNumberFormat="1" applyFont="1" applyFill="1" applyBorder="1" applyAlignment="1">
      <alignment horizontal="center"/>
    </xf>
    <xf numFmtId="2" fontId="4" fillId="35" borderId="11" xfId="0" applyNumberFormat="1" applyFont="1" applyFill="1" applyBorder="1" applyAlignment="1">
      <alignment/>
    </xf>
    <xf numFmtId="10" fontId="6" fillId="35" borderId="12" xfId="53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5" fillId="0" borderId="0" xfId="51" applyFont="1">
      <alignment/>
      <protection/>
    </xf>
    <xf numFmtId="49" fontId="8" fillId="0" borderId="0" xfId="51" applyNumberFormat="1" applyFont="1" applyFill="1" applyBorder="1" applyAlignment="1">
      <alignment horizontal="left" vertical="top"/>
      <protection/>
    </xf>
    <xf numFmtId="0" fontId="48" fillId="34" borderId="18" xfId="0" applyFont="1" applyFill="1" applyBorder="1" applyAlignment="1">
      <alignment horizontal="center"/>
    </xf>
    <xf numFmtId="0" fontId="48" fillId="34" borderId="19" xfId="0" applyFont="1" applyFill="1" applyBorder="1" applyAlignment="1">
      <alignment horizontal="center"/>
    </xf>
    <xf numFmtId="0" fontId="48" fillId="34" borderId="2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49" fontId="49" fillId="36" borderId="18" xfId="0" applyNumberFormat="1" applyFont="1" applyFill="1" applyBorder="1" applyAlignment="1">
      <alignment horizontal="center" vertical="center" wrapText="1"/>
    </xf>
    <xf numFmtId="49" fontId="49" fillId="36" borderId="10" xfId="0" applyNumberFormat="1" applyFont="1" applyFill="1" applyBorder="1" applyAlignment="1">
      <alignment horizontal="center" vertical="center" wrapText="1"/>
    </xf>
    <xf numFmtId="49" fontId="49" fillId="36" borderId="14" xfId="0" applyNumberFormat="1" applyFont="1" applyFill="1" applyBorder="1" applyAlignment="1">
      <alignment horizontal="center" vertical="center" wrapText="1"/>
    </xf>
    <xf numFmtId="49" fontId="49" fillId="36" borderId="19" xfId="0" applyNumberFormat="1" applyFont="1" applyFill="1" applyBorder="1" applyAlignment="1">
      <alignment horizontal="center" vertical="center" wrapText="1"/>
    </xf>
    <xf numFmtId="49" fontId="49" fillId="36" borderId="11" xfId="0" applyNumberFormat="1" applyFont="1" applyFill="1" applyBorder="1" applyAlignment="1">
      <alignment horizontal="center" vertical="center" wrapText="1"/>
    </xf>
    <xf numFmtId="49" fontId="49" fillId="36" borderId="15" xfId="0" applyNumberFormat="1" applyFont="1" applyFill="1" applyBorder="1" applyAlignment="1">
      <alignment horizontal="center" vertical="center" wrapText="1"/>
    </xf>
    <xf numFmtId="49" fontId="49" fillId="36" borderId="20" xfId="0" applyNumberFormat="1" applyFont="1" applyFill="1" applyBorder="1" applyAlignment="1">
      <alignment horizontal="center" vertical="center" wrapText="1"/>
    </xf>
    <xf numFmtId="49" fontId="49" fillId="36" borderId="12" xfId="0" applyNumberFormat="1" applyFont="1" applyFill="1" applyBorder="1" applyAlignment="1">
      <alignment horizontal="center" vertical="center" wrapText="1"/>
    </xf>
    <xf numFmtId="49" fontId="49" fillId="36" borderId="1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366</xdr:row>
      <xdr:rowOff>9525</xdr:rowOff>
    </xdr:from>
    <xdr:to>
      <xdr:col>7</xdr:col>
      <xdr:colOff>19050</xdr:colOff>
      <xdr:row>370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3674625"/>
          <a:ext cx="64960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*  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Desde el mes de julio de 2000 se calcula el ingreso familiar con un hogar tipo de cuatro miembros con 1.60 perceptores de la Remuneración Básica unificada mínima.
</a:t>
          </a:r>
          <a:r>
            <a:rPr lang="en-US" cap="none" sz="7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** Desde el mes de enero de 2015 se empieza a publicar la serie oficial del Índice de Precios al Consumidor año base 2014.
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*** El cálculo del Ingreso Familiar Mensual del hogar tipo no incluye los fondos de reserva mensualizados.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276225</xdr:colOff>
      <xdr:row>1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96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77"/>
  <sheetViews>
    <sheetView showGridLines="0" tabSelected="1" zoomScalePageLayoutView="0" workbookViewId="0" topLeftCell="A1">
      <pane ySplit="9" topLeftCell="A355" activePane="bottomLeft" state="frozen"/>
      <selection pane="topLeft" activeCell="A1" sqref="A1"/>
      <selection pane="bottomLeft" activeCell="I369" sqref="I369"/>
    </sheetView>
  </sheetViews>
  <sheetFormatPr defaultColWidth="11.421875" defaultRowHeight="12.75"/>
  <cols>
    <col min="1" max="1" width="20.140625" style="1" customWidth="1"/>
    <col min="2" max="4" width="11.57421875" style="1" customWidth="1"/>
    <col min="5" max="5" width="12.7109375" style="1" customWidth="1"/>
    <col min="6" max="6" width="15.28125" style="1" customWidth="1"/>
    <col min="7" max="7" width="14.28125" style="1" customWidth="1"/>
    <col min="8" max="8" width="11.57421875" style="1" customWidth="1"/>
    <col min="9" max="16384" width="11.57421875" style="1" customWidth="1"/>
  </cols>
  <sheetData>
    <row r="1" ht="75.75" customHeight="1" thickBot="1"/>
    <row r="2" ht="14.25" thickBot="1"/>
    <row r="3" spans="1:7" ht="20.25">
      <c r="A3" s="67" t="s">
        <v>0</v>
      </c>
      <c r="B3" s="68"/>
      <c r="C3" s="68"/>
      <c r="D3" s="68"/>
      <c r="E3" s="68"/>
      <c r="F3" s="68"/>
      <c r="G3" s="69"/>
    </row>
    <row r="4" spans="1:7" ht="14.25" thickBot="1">
      <c r="A4" s="70" t="s">
        <v>1</v>
      </c>
      <c r="B4" s="71"/>
      <c r="C4" s="71"/>
      <c r="D4" s="71"/>
      <c r="E4" s="71"/>
      <c r="F4" s="71"/>
      <c r="G4" s="72"/>
    </row>
    <row r="5" spans="1:7" ht="12.75" customHeight="1">
      <c r="A5" s="73" t="s">
        <v>2</v>
      </c>
      <c r="B5" s="76" t="s">
        <v>3</v>
      </c>
      <c r="C5" s="76" t="s">
        <v>4</v>
      </c>
      <c r="D5" s="76" t="s">
        <v>42</v>
      </c>
      <c r="E5" s="76" t="s">
        <v>43</v>
      </c>
      <c r="F5" s="76" t="s">
        <v>51</v>
      </c>
      <c r="G5" s="79" t="s">
        <v>50</v>
      </c>
    </row>
    <row r="6" spans="1:7" ht="13.5">
      <c r="A6" s="74"/>
      <c r="B6" s="77"/>
      <c r="C6" s="77"/>
      <c r="D6" s="77"/>
      <c r="E6" s="77"/>
      <c r="F6" s="77"/>
      <c r="G6" s="80"/>
    </row>
    <row r="7" spans="1:7" ht="13.5">
      <c r="A7" s="74"/>
      <c r="B7" s="77"/>
      <c r="C7" s="77"/>
      <c r="D7" s="77"/>
      <c r="E7" s="77"/>
      <c r="F7" s="77"/>
      <c r="G7" s="80"/>
    </row>
    <row r="8" spans="1:7" ht="13.5">
      <c r="A8" s="74"/>
      <c r="B8" s="77"/>
      <c r="C8" s="77"/>
      <c r="D8" s="77"/>
      <c r="E8" s="77"/>
      <c r="F8" s="77"/>
      <c r="G8" s="80"/>
    </row>
    <row r="9" spans="1:7" ht="14.25" thickBot="1">
      <c r="A9" s="75"/>
      <c r="B9" s="78"/>
      <c r="C9" s="78"/>
      <c r="D9" s="78"/>
      <c r="E9" s="78"/>
      <c r="F9" s="78"/>
      <c r="G9" s="81"/>
    </row>
    <row r="10" spans="1:7" ht="14.25" thickBot="1">
      <c r="A10" s="2"/>
      <c r="B10" s="2"/>
      <c r="C10" s="2"/>
      <c r="D10" s="3"/>
      <c r="E10" s="3"/>
      <c r="F10" s="2"/>
      <c r="G10" s="2"/>
    </row>
    <row r="11" spans="1:10" ht="13.5">
      <c r="A11" s="50"/>
      <c r="B11" s="51"/>
      <c r="C11" s="51"/>
      <c r="D11" s="52"/>
      <c r="E11" s="52"/>
      <c r="F11" s="51"/>
      <c r="G11" s="53"/>
      <c r="J11" s="48"/>
    </row>
    <row r="12" spans="1:10" ht="13.5">
      <c r="A12" s="54" t="s">
        <v>5</v>
      </c>
      <c r="B12" s="55" t="s">
        <v>6</v>
      </c>
      <c r="C12" s="56">
        <v>1982</v>
      </c>
      <c r="D12" s="57">
        <f>10758/26.79</f>
        <v>401.5677491601344</v>
      </c>
      <c r="E12" s="57">
        <f>10758.44/26.79</f>
        <v>401.5841731989549</v>
      </c>
      <c r="F12" s="57">
        <f>+D12-E12</f>
        <v>-0.01642403882050303</v>
      </c>
      <c r="G12" s="58">
        <f aca="true" t="shared" si="0" ref="G12:G43">+F12/D12</f>
        <v>-4.089979550114112E-05</v>
      </c>
      <c r="J12" s="48"/>
    </row>
    <row r="13" spans="1:10" ht="13.5">
      <c r="A13" s="54"/>
      <c r="B13" s="55" t="s">
        <v>7</v>
      </c>
      <c r="C13" s="56">
        <v>1983</v>
      </c>
      <c r="D13" s="57">
        <f>15965/44.49</f>
        <v>358.8446841986963</v>
      </c>
      <c r="E13" s="57">
        <f>13416.83/44.49</f>
        <v>301.56956619465046</v>
      </c>
      <c r="F13" s="57">
        <f aca="true" t="shared" si="1" ref="F13:F44">+D13-E13</f>
        <v>57.27511800404585</v>
      </c>
      <c r="G13" s="58">
        <f t="shared" si="0"/>
        <v>0.15960977137488255</v>
      </c>
      <c r="J13" s="48"/>
    </row>
    <row r="14" spans="1:10" ht="13.5">
      <c r="A14" s="4" t="s">
        <v>8</v>
      </c>
      <c r="B14" s="5" t="s">
        <v>9</v>
      </c>
      <c r="C14" s="6">
        <v>1984</v>
      </c>
      <c r="D14" s="7">
        <f>17757/90</f>
        <v>197.3</v>
      </c>
      <c r="E14" s="7">
        <f>15692.71/90</f>
        <v>174.36344444444444</v>
      </c>
      <c r="F14" s="7">
        <f t="shared" si="1"/>
        <v>22.93655555555557</v>
      </c>
      <c r="G14" s="8">
        <f t="shared" si="0"/>
        <v>0.11625218223799072</v>
      </c>
      <c r="J14" s="48"/>
    </row>
    <row r="15" spans="1:10" ht="13.5">
      <c r="A15" s="4"/>
      <c r="B15" s="5" t="s">
        <v>10</v>
      </c>
      <c r="C15" s="6">
        <v>1985</v>
      </c>
      <c r="D15" s="7">
        <f>22932/120.76</f>
        <v>189.89731699238158</v>
      </c>
      <c r="E15" s="7">
        <f>20813.92/120.76</f>
        <v>172.3577343491222</v>
      </c>
      <c r="F15" s="7">
        <f t="shared" si="1"/>
        <v>17.539582643259365</v>
      </c>
      <c r="G15" s="8">
        <f t="shared" si="0"/>
        <v>0.0923635095063667</v>
      </c>
      <c r="J15" s="48"/>
    </row>
    <row r="16" spans="1:11" ht="13.5">
      <c r="A16" s="4"/>
      <c r="B16" s="5" t="s">
        <v>9</v>
      </c>
      <c r="C16" s="6">
        <v>1986</v>
      </c>
      <c r="D16" s="7">
        <f>26616/130.74</f>
        <v>203.57962368058742</v>
      </c>
      <c r="E16" s="7">
        <f>24447.23/130.74</f>
        <v>186.99120391616947</v>
      </c>
      <c r="F16" s="7">
        <f t="shared" si="1"/>
        <v>16.58841976441795</v>
      </c>
      <c r="G16" s="8">
        <f t="shared" si="0"/>
        <v>0.08148369401863552</v>
      </c>
      <c r="K16" s="49"/>
    </row>
    <row r="17" spans="1:11" ht="13.5">
      <c r="A17" s="4"/>
      <c r="B17" s="5" t="s">
        <v>11</v>
      </c>
      <c r="C17" s="6">
        <v>1986</v>
      </c>
      <c r="D17" s="7">
        <f>29640/161.5</f>
        <v>183.52941176470588</v>
      </c>
      <c r="E17" s="7">
        <f>27507.23/161.5</f>
        <v>170.3234055727554</v>
      </c>
      <c r="F17" s="7">
        <f t="shared" si="1"/>
        <v>13.206006191950479</v>
      </c>
      <c r="G17" s="8">
        <f t="shared" si="0"/>
        <v>0.07195580296896094</v>
      </c>
      <c r="K17" s="49"/>
    </row>
    <row r="18" spans="1:11" ht="13.5">
      <c r="A18" s="4"/>
      <c r="B18" s="5" t="s">
        <v>7</v>
      </c>
      <c r="C18" s="6">
        <v>1987</v>
      </c>
      <c r="D18" s="7">
        <f>37667/192.77</f>
        <v>195.3986616174716</v>
      </c>
      <c r="E18" s="7">
        <f>32892.89/192.77</f>
        <v>170.6328266846501</v>
      </c>
      <c r="F18" s="7">
        <f t="shared" si="1"/>
        <v>24.76583493282149</v>
      </c>
      <c r="G18" s="8">
        <f t="shared" si="0"/>
        <v>0.1267451615472429</v>
      </c>
      <c r="K18" s="49"/>
    </row>
    <row r="19" spans="1:11" ht="13.5">
      <c r="A19" s="4"/>
      <c r="B19" s="5" t="s">
        <v>12</v>
      </c>
      <c r="C19" s="6">
        <v>1988</v>
      </c>
      <c r="D19" s="7">
        <f>59354/462.75</f>
        <v>128.2636412749865</v>
      </c>
      <c r="E19" s="7">
        <f>42166.17/462.75</f>
        <v>91.12084278768234</v>
      </c>
      <c r="F19" s="7">
        <f t="shared" si="1"/>
        <v>37.14279848730416</v>
      </c>
      <c r="G19" s="8">
        <f t="shared" si="0"/>
        <v>0.28958166256697104</v>
      </c>
      <c r="K19" s="49"/>
    </row>
    <row r="20" spans="1:11" ht="13.5">
      <c r="A20" s="54" t="s">
        <v>13</v>
      </c>
      <c r="B20" s="59" t="s">
        <v>14</v>
      </c>
      <c r="C20" s="56">
        <v>1988</v>
      </c>
      <c r="D20" s="57">
        <f>70169/517.61</f>
        <v>135.5634551109909</v>
      </c>
      <c r="E20" s="57">
        <f>47123.37/517.61</f>
        <v>91.04030061243022</v>
      </c>
      <c r="F20" s="57">
        <f t="shared" si="1"/>
        <v>44.523154498560686</v>
      </c>
      <c r="G20" s="58">
        <f t="shared" si="0"/>
        <v>0.3284303609856204</v>
      </c>
      <c r="K20" s="49"/>
    </row>
    <row r="21" spans="1:7" ht="13.5">
      <c r="A21" s="54"/>
      <c r="B21" s="59" t="s">
        <v>15</v>
      </c>
      <c r="C21" s="56">
        <v>1989</v>
      </c>
      <c r="D21" s="57">
        <f>104177/529.76</f>
        <v>196.64942615524012</v>
      </c>
      <c r="E21" s="57">
        <f>57840.79/529.76</f>
        <v>109.18300739957716</v>
      </c>
      <c r="F21" s="57">
        <f t="shared" si="1"/>
        <v>87.46641875566296</v>
      </c>
      <c r="G21" s="58">
        <f t="shared" si="0"/>
        <v>0.4447834934774471</v>
      </c>
    </row>
    <row r="22" spans="1:7" ht="13.5">
      <c r="A22" s="54"/>
      <c r="B22" s="59" t="s">
        <v>6</v>
      </c>
      <c r="C22" s="56">
        <v>1989</v>
      </c>
      <c r="D22" s="57">
        <f>124785/662.46</f>
        <v>188.36609002807717</v>
      </c>
      <c r="E22" s="57">
        <f>69483.25/662.46</f>
        <v>104.88671014098963</v>
      </c>
      <c r="F22" s="57">
        <f t="shared" si="1"/>
        <v>83.47937988708753</v>
      </c>
      <c r="G22" s="58">
        <f t="shared" si="0"/>
        <v>0.443176263172657</v>
      </c>
    </row>
    <row r="23" spans="1:7" ht="13.5">
      <c r="A23" s="54"/>
      <c r="B23" s="59" t="s">
        <v>16</v>
      </c>
      <c r="C23" s="56">
        <v>1990</v>
      </c>
      <c r="D23" s="57">
        <f>173106.923/862.92</f>
        <v>200.60599244425904</v>
      </c>
      <c r="E23" s="57">
        <f>81468.86/862.92</f>
        <v>94.41067538126362</v>
      </c>
      <c r="F23" s="57">
        <f t="shared" si="1"/>
        <v>106.19531706299543</v>
      </c>
      <c r="G23" s="58">
        <f t="shared" si="0"/>
        <v>0.5293726063168485</v>
      </c>
    </row>
    <row r="24" spans="1:7" ht="13.5">
      <c r="A24" s="54"/>
      <c r="B24" s="59" t="s">
        <v>6</v>
      </c>
      <c r="C24" s="56">
        <v>1990</v>
      </c>
      <c r="D24" s="57">
        <f>179071.288/873.01</f>
        <v>205.11940069415013</v>
      </c>
      <c r="E24" s="57">
        <f>81468.86/873.01</f>
        <v>93.31950378575274</v>
      </c>
      <c r="F24" s="57">
        <f t="shared" si="1"/>
        <v>111.79989690839739</v>
      </c>
      <c r="G24" s="58">
        <f t="shared" si="0"/>
        <v>0.5450478917647591</v>
      </c>
    </row>
    <row r="25" spans="1:7" ht="13.5">
      <c r="A25" s="54"/>
      <c r="B25" s="59" t="s">
        <v>17</v>
      </c>
      <c r="C25" s="56">
        <v>1990</v>
      </c>
      <c r="D25" s="57">
        <f>183772.611/876.69</f>
        <v>209.62097320603633</v>
      </c>
      <c r="E25" s="57">
        <f>81468.86/876.69</f>
        <v>92.9277851920291</v>
      </c>
      <c r="F25" s="57">
        <f t="shared" si="1"/>
        <v>116.69318801400722</v>
      </c>
      <c r="G25" s="58">
        <f t="shared" si="0"/>
        <v>0.5566866054920447</v>
      </c>
    </row>
    <row r="26" spans="1:7" ht="13.5">
      <c r="A26" s="54"/>
      <c r="B26" s="59" t="s">
        <v>18</v>
      </c>
      <c r="C26" s="56">
        <v>1991</v>
      </c>
      <c r="D26" s="57">
        <f>193596.271/936.17</f>
        <v>206.79606374910543</v>
      </c>
      <c r="E26" s="57">
        <f>94350.01/936.17</f>
        <v>100.78298813249731</v>
      </c>
      <c r="F26" s="57">
        <f t="shared" si="1"/>
        <v>106.01307561660812</v>
      </c>
      <c r="G26" s="58">
        <f t="shared" si="0"/>
        <v>0.5126455199129326</v>
      </c>
    </row>
    <row r="27" spans="1:7" ht="13.5">
      <c r="A27" s="54"/>
      <c r="B27" s="59" t="s">
        <v>19</v>
      </c>
      <c r="C27" s="56">
        <v>1991</v>
      </c>
      <c r="D27" s="57">
        <f>201455.199/978.4</f>
        <v>205.902697260834</v>
      </c>
      <c r="E27" s="57">
        <f>94350.01/798.4</f>
        <v>118.17386022044087</v>
      </c>
      <c r="F27" s="57">
        <f t="shared" si="1"/>
        <v>87.72883704039313</v>
      </c>
      <c r="G27" s="58">
        <f t="shared" si="0"/>
        <v>0.42606939203549987</v>
      </c>
    </row>
    <row r="28" spans="1:7" ht="13.5">
      <c r="A28" s="54"/>
      <c r="B28" s="59" t="s">
        <v>20</v>
      </c>
      <c r="C28" s="56">
        <v>1991</v>
      </c>
      <c r="D28" s="57">
        <f>208822.944/1015</f>
        <v>205.73689064039408</v>
      </c>
      <c r="E28" s="57">
        <f>94350.01/1015</f>
        <v>92.95567487684728</v>
      </c>
      <c r="F28" s="57">
        <f t="shared" si="1"/>
        <v>112.7812157635468</v>
      </c>
      <c r="G28" s="58">
        <f t="shared" si="0"/>
        <v>0.548181784085948</v>
      </c>
    </row>
    <row r="29" spans="1:7" ht="13.5">
      <c r="A29" s="54"/>
      <c r="B29" s="59" t="s">
        <v>21</v>
      </c>
      <c r="C29" s="56">
        <v>1991</v>
      </c>
      <c r="D29" s="57">
        <f>214927.647/1037.85</f>
        <v>207.08931637519873</v>
      </c>
      <c r="E29" s="57">
        <f>94350.01/1037.85</f>
        <v>90.90910054439466</v>
      </c>
      <c r="F29" s="57">
        <f t="shared" si="1"/>
        <v>116.18021583080407</v>
      </c>
      <c r="G29" s="58">
        <f t="shared" si="0"/>
        <v>0.5610150145085802</v>
      </c>
    </row>
    <row r="30" spans="1:7" ht="13.5">
      <c r="A30" s="54"/>
      <c r="B30" s="59" t="s">
        <v>15</v>
      </c>
      <c r="C30" s="56">
        <v>1991</v>
      </c>
      <c r="D30" s="57">
        <f>223768.941/1113.89</f>
        <v>200.8896219554893</v>
      </c>
      <c r="E30" s="57">
        <f>94350.01/1113.89</f>
        <v>84.7031663808814</v>
      </c>
      <c r="F30" s="57">
        <f t="shared" si="1"/>
        <v>116.1864555746079</v>
      </c>
      <c r="G30" s="58">
        <f t="shared" si="0"/>
        <v>0.5783596705675075</v>
      </c>
    </row>
    <row r="31" spans="1:7" ht="13.5">
      <c r="A31" s="54"/>
      <c r="B31" s="59" t="s">
        <v>12</v>
      </c>
      <c r="C31" s="56">
        <v>1991</v>
      </c>
      <c r="D31" s="57">
        <f>230785.841/1121.55</f>
        <v>205.77401007534215</v>
      </c>
      <c r="E31" s="57">
        <f>94350.01/1121.55</f>
        <v>84.12465783959699</v>
      </c>
      <c r="F31" s="57">
        <f t="shared" si="1"/>
        <v>121.64935223574516</v>
      </c>
      <c r="G31" s="58">
        <f t="shared" si="0"/>
        <v>0.5911793826207908</v>
      </c>
    </row>
    <row r="32" spans="1:7" ht="13.5">
      <c r="A32" s="54"/>
      <c r="B32" s="59" t="s">
        <v>7</v>
      </c>
      <c r="C32" s="56">
        <v>1991</v>
      </c>
      <c r="D32" s="57">
        <f>236399.361/1121.01</f>
        <v>210.88068884309686</v>
      </c>
      <c r="E32" s="57">
        <f>94350.01/1121.01</f>
        <v>84.16518139891704</v>
      </c>
      <c r="F32" s="57">
        <f t="shared" si="1"/>
        <v>126.71550744417982</v>
      </c>
      <c r="G32" s="58">
        <f t="shared" si="0"/>
        <v>0.6008872037517903</v>
      </c>
    </row>
    <row r="33" spans="1:7" ht="13.5">
      <c r="A33" s="54"/>
      <c r="B33" s="59" t="s">
        <v>11</v>
      </c>
      <c r="C33" s="56">
        <v>1991</v>
      </c>
      <c r="D33" s="57">
        <f>242223.388/1113.3</f>
        <v>217.57243150992545</v>
      </c>
      <c r="E33" s="57">
        <f>94350.01/1113.3</f>
        <v>84.74805533099793</v>
      </c>
      <c r="F33" s="57">
        <f t="shared" si="1"/>
        <v>132.82437617892754</v>
      </c>
      <c r="G33" s="58">
        <f t="shared" si="0"/>
        <v>0.6104834847739807</v>
      </c>
    </row>
    <row r="34" spans="1:7" ht="13.5">
      <c r="A34" s="54"/>
      <c r="B34" s="59" t="s">
        <v>14</v>
      </c>
      <c r="C34" s="56">
        <v>1991</v>
      </c>
      <c r="D34" s="57">
        <f>251134.851/1127.25</f>
        <v>222.78540785096473</v>
      </c>
      <c r="E34" s="57">
        <f>94350.01/1127.25</f>
        <v>83.69927700155245</v>
      </c>
      <c r="F34" s="57">
        <f t="shared" si="1"/>
        <v>139.08613084941229</v>
      </c>
      <c r="G34" s="58">
        <f t="shared" si="0"/>
        <v>0.6243053896171503</v>
      </c>
    </row>
    <row r="35" spans="1:7" ht="13.5">
      <c r="A35" s="54"/>
      <c r="B35" s="59" t="s">
        <v>16</v>
      </c>
      <c r="C35" s="56">
        <v>1991</v>
      </c>
      <c r="D35" s="57">
        <f>258362.258/1162.3</f>
        <v>222.285346296137</v>
      </c>
      <c r="E35" s="57">
        <f>105825.01/1162.3</f>
        <v>91.04793082680891</v>
      </c>
      <c r="F35" s="57">
        <f t="shared" si="1"/>
        <v>131.23741546932808</v>
      </c>
      <c r="G35" s="58">
        <f t="shared" si="0"/>
        <v>0.5904006613845278</v>
      </c>
    </row>
    <row r="36" spans="1:7" ht="13.5">
      <c r="A36" s="54"/>
      <c r="B36" s="59" t="s">
        <v>6</v>
      </c>
      <c r="C36" s="56">
        <v>1991</v>
      </c>
      <c r="D36" s="57">
        <f>264466.961/1196.68</f>
        <v>221.00056907443928</v>
      </c>
      <c r="E36" s="57">
        <f>105825.01/1196.68</f>
        <v>88.43217067219305</v>
      </c>
      <c r="F36" s="57">
        <f t="shared" si="1"/>
        <v>132.56839840224623</v>
      </c>
      <c r="G36" s="58">
        <f t="shared" si="0"/>
        <v>0.5998554617187136</v>
      </c>
    </row>
    <row r="37" spans="1:7" ht="13.5">
      <c r="A37" s="54"/>
      <c r="B37" s="59" t="s">
        <v>17</v>
      </c>
      <c r="C37" s="56">
        <v>1991</v>
      </c>
      <c r="D37" s="57">
        <f>276536.029/1286.84</f>
        <v>214.89542522768954</v>
      </c>
      <c r="E37" s="57">
        <f>105825.01/1286.84</f>
        <v>82.23633862795685</v>
      </c>
      <c r="F37" s="57">
        <f t="shared" si="1"/>
        <v>132.6590865997327</v>
      </c>
      <c r="G37" s="58">
        <f t="shared" si="0"/>
        <v>0.6173192680075695</v>
      </c>
    </row>
    <row r="38" spans="1:7" ht="13.5">
      <c r="A38" s="54"/>
      <c r="B38" s="59" t="s">
        <v>9</v>
      </c>
      <c r="C38" s="56">
        <v>1992</v>
      </c>
      <c r="D38" s="57">
        <f>289868.139/1336.13</f>
        <v>216.946059889382</v>
      </c>
      <c r="E38" s="57">
        <f>121125.01/1336.13</f>
        <v>90.65361154977434</v>
      </c>
      <c r="F38" s="57">
        <f t="shared" si="1"/>
        <v>126.29244833960767</v>
      </c>
      <c r="G38" s="58">
        <f t="shared" si="0"/>
        <v>0.5821375525510929</v>
      </c>
    </row>
    <row r="39" spans="1:7" ht="13.5">
      <c r="A39" s="54"/>
      <c r="B39" s="59" t="s">
        <v>22</v>
      </c>
      <c r="C39" s="56">
        <v>1992</v>
      </c>
      <c r="D39" s="57">
        <f>300112.813/1345.47</f>
        <v>223.05425836324855</v>
      </c>
      <c r="E39" s="57">
        <f>121125.01/1345.47</f>
        <v>90.02431120723612</v>
      </c>
      <c r="F39" s="57">
        <f t="shared" si="1"/>
        <v>133.02994715601244</v>
      </c>
      <c r="G39" s="58">
        <f t="shared" si="0"/>
        <v>0.5964017371027742</v>
      </c>
    </row>
    <row r="40" spans="1:7" ht="13.5">
      <c r="A40" s="54"/>
      <c r="B40" s="59" t="s">
        <v>10</v>
      </c>
      <c r="C40" s="56">
        <v>1992</v>
      </c>
      <c r="D40" s="57">
        <f>309585.628/1342.13</f>
        <v>230.66739287550385</v>
      </c>
      <c r="E40" s="57">
        <f>121125.01/1342.13</f>
        <v>90.24834405012926</v>
      </c>
      <c r="F40" s="57">
        <f t="shared" si="1"/>
        <v>140.4190488253746</v>
      </c>
      <c r="G40" s="58">
        <f t="shared" si="0"/>
        <v>0.6087511853101916</v>
      </c>
    </row>
    <row r="41" spans="1:7" ht="13.5">
      <c r="A41" s="54"/>
      <c r="B41" s="59" t="s">
        <v>21</v>
      </c>
      <c r="C41" s="56">
        <v>1992</v>
      </c>
      <c r="D41" s="57">
        <f>325864.836/1384.96</f>
        <v>235.2882653650647</v>
      </c>
      <c r="E41" s="57">
        <f>121125.01/1384.96</f>
        <v>87.4574067121072</v>
      </c>
      <c r="F41" s="57">
        <f t="shared" si="1"/>
        <v>147.8308586529575</v>
      </c>
      <c r="G41" s="58">
        <f t="shared" si="0"/>
        <v>0.6282967763971932</v>
      </c>
    </row>
    <row r="42" spans="1:7" ht="13.5">
      <c r="A42" s="54"/>
      <c r="B42" s="59" t="s">
        <v>15</v>
      </c>
      <c r="C42" s="56">
        <v>1992</v>
      </c>
      <c r="D42" s="57">
        <f>338425.087/1453.01</f>
        <v>232.9131162208106</v>
      </c>
      <c r="E42" s="57">
        <f>121125.01/1453.01</f>
        <v>83.36144279805369</v>
      </c>
      <c r="F42" s="57">
        <f t="shared" si="1"/>
        <v>149.5516734227569</v>
      </c>
      <c r="G42" s="58">
        <f t="shared" si="0"/>
        <v>0.6420921064873657</v>
      </c>
    </row>
    <row r="43" spans="1:7" ht="13.5">
      <c r="A43" s="54"/>
      <c r="B43" s="59" t="s">
        <v>12</v>
      </c>
      <c r="C43" s="56">
        <v>1992</v>
      </c>
      <c r="D43" s="57">
        <f>350915.169/1490.31</f>
        <v>235.46454697344848</v>
      </c>
      <c r="E43" s="57">
        <f>121125.01/1490.31</f>
        <v>81.27504344733646</v>
      </c>
      <c r="F43" s="57">
        <f t="shared" si="1"/>
        <v>154.18950352611202</v>
      </c>
      <c r="G43" s="58">
        <f t="shared" si="0"/>
        <v>0.6548310797017726</v>
      </c>
    </row>
    <row r="44" spans="1:7" ht="13.5">
      <c r="A44" s="54"/>
      <c r="B44" s="59" t="s">
        <v>7</v>
      </c>
      <c r="C44" s="56">
        <v>1992</v>
      </c>
      <c r="D44" s="57">
        <f>362212.378/1530.54</f>
        <v>236.65659048440423</v>
      </c>
      <c r="E44" s="57">
        <f>121125.01/1530.54</f>
        <v>79.13874188195015</v>
      </c>
      <c r="F44" s="57">
        <f t="shared" si="1"/>
        <v>157.51784860245408</v>
      </c>
      <c r="G44" s="58">
        <f>+F44/D44</f>
        <v>0.6655967124348248</v>
      </c>
    </row>
    <row r="45" spans="1:7" ht="13.5">
      <c r="A45" s="4" t="s">
        <v>23</v>
      </c>
      <c r="B45" s="5" t="s">
        <v>11</v>
      </c>
      <c r="C45" s="6">
        <v>1992</v>
      </c>
      <c r="D45" s="7">
        <f>378842.431/1691.64</f>
        <v>223.94979487361374</v>
      </c>
      <c r="E45" s="7">
        <f>124369/1691.64</f>
        <v>73.51977962214183</v>
      </c>
      <c r="F45" s="7">
        <f>+D45-E45</f>
        <v>150.4300152514719</v>
      </c>
      <c r="G45" s="8">
        <f>+F45/D45</f>
        <v>0.6717131191674778</v>
      </c>
    </row>
    <row r="46" spans="1:7" ht="13.5">
      <c r="A46" s="4"/>
      <c r="B46" s="5" t="s">
        <v>12</v>
      </c>
      <c r="C46" s="6">
        <v>1993</v>
      </c>
      <c r="D46" s="7">
        <f>557580/1908.09</f>
        <v>292.2189204911718</v>
      </c>
      <c r="E46" s="7">
        <f>246598.34/1908.09</f>
        <v>129.2383168508823</v>
      </c>
      <c r="F46" s="7">
        <f>+D46-E46</f>
        <v>162.98060364028947</v>
      </c>
      <c r="G46" s="8">
        <f aca="true" t="shared" si="2" ref="G46:G109">+F46/D46</f>
        <v>0.5577346031062806</v>
      </c>
    </row>
    <row r="47" spans="1:7" ht="13.5">
      <c r="A47" s="4"/>
      <c r="B47" s="5" t="s">
        <v>7</v>
      </c>
      <c r="C47" s="6">
        <v>1993</v>
      </c>
      <c r="D47" s="7">
        <f>566808/1926.98</f>
        <v>294.14316702819957</v>
      </c>
      <c r="E47" s="7">
        <f>281213.34/1926.98</f>
        <v>145.93474763619759</v>
      </c>
      <c r="F47" s="7">
        <f>+D47-E47</f>
        <v>148.20841939200199</v>
      </c>
      <c r="G47" s="8">
        <f t="shared" si="2"/>
        <v>0.503864906635051</v>
      </c>
    </row>
    <row r="48" spans="1:7" ht="13.5">
      <c r="A48" s="4"/>
      <c r="B48" s="5" t="s">
        <v>11</v>
      </c>
      <c r="C48" s="6">
        <v>1993</v>
      </c>
      <c r="D48" s="7">
        <f>575597/1946.33</f>
        <v>295.73453628110343</v>
      </c>
      <c r="E48" s="7">
        <f>281213.34/1946.33</f>
        <v>144.48389533121312</v>
      </c>
      <c r="F48" s="7">
        <f>+D48-E48</f>
        <v>151.2506409498903</v>
      </c>
      <c r="G48" s="8">
        <f t="shared" si="2"/>
        <v>0.5114405738737345</v>
      </c>
    </row>
    <row r="49" spans="1:7" ht="13.5">
      <c r="A49" s="4"/>
      <c r="B49" s="5" t="s">
        <v>14</v>
      </c>
      <c r="C49" s="6">
        <v>1993</v>
      </c>
      <c r="D49" s="7">
        <f>588754/1951.24</f>
        <v>301.7332568008036</v>
      </c>
      <c r="E49" s="7">
        <f>282823.34/1951.24</f>
        <v>144.94543982288187</v>
      </c>
      <c r="F49" s="7">
        <f aca="true" t="shared" si="3" ref="F49:F92">+D49-E49</f>
        <v>156.78781697792172</v>
      </c>
      <c r="G49" s="8">
        <f t="shared" si="2"/>
        <v>0.5196239176294344</v>
      </c>
    </row>
    <row r="50" spans="1:7" ht="13.5">
      <c r="A50" s="4"/>
      <c r="B50" s="5" t="s">
        <v>16</v>
      </c>
      <c r="C50" s="6">
        <v>1993</v>
      </c>
      <c r="D50" s="7">
        <f>603732/1948.31</f>
        <v>309.8747119298264</v>
      </c>
      <c r="E50" s="7">
        <f>287653.34/1948.31</f>
        <v>147.64249015813706</v>
      </c>
      <c r="F50" s="7">
        <f t="shared" si="3"/>
        <v>162.23222177168932</v>
      </c>
      <c r="G50" s="8">
        <f t="shared" si="2"/>
        <v>0.5235413395347605</v>
      </c>
    </row>
    <row r="51" spans="1:7" ht="13.5">
      <c r="A51" s="4"/>
      <c r="B51" s="5" t="s">
        <v>6</v>
      </c>
      <c r="C51" s="6">
        <v>1993</v>
      </c>
      <c r="D51" s="7">
        <f>613140/1977.85</f>
        <v>310.00328639684506</v>
      </c>
      <c r="E51" s="7">
        <f>287653.34/1977.85</f>
        <v>145.43738908410648</v>
      </c>
      <c r="F51" s="7">
        <f t="shared" si="3"/>
        <v>164.56589731273857</v>
      </c>
      <c r="G51" s="8">
        <f t="shared" si="2"/>
        <v>0.5308521055550118</v>
      </c>
    </row>
    <row r="52" spans="1:7" ht="13.5">
      <c r="A52" s="4"/>
      <c r="B52" s="5" t="s">
        <v>17</v>
      </c>
      <c r="C52" s="6">
        <v>1993</v>
      </c>
      <c r="D52" s="7">
        <f>617923/2014.7</f>
        <v>306.70720206482355</v>
      </c>
      <c r="E52" s="7">
        <f>287653.34/2014.7</f>
        <v>142.77725715987492</v>
      </c>
      <c r="F52" s="7">
        <f t="shared" si="3"/>
        <v>163.92994490494863</v>
      </c>
      <c r="G52" s="8">
        <f t="shared" si="2"/>
        <v>0.5344835197913008</v>
      </c>
    </row>
    <row r="53" spans="1:7" ht="13.5">
      <c r="A53" s="4"/>
      <c r="B53" s="5" t="s">
        <v>18</v>
      </c>
      <c r="C53" s="6">
        <v>1994</v>
      </c>
      <c r="D53" s="7">
        <f>657900/2082.16</f>
        <v>315.96995427824953</v>
      </c>
      <c r="E53" s="7">
        <f>339173.34/2082.16</f>
        <v>162.89494563338076</v>
      </c>
      <c r="F53" s="7">
        <f t="shared" si="3"/>
        <v>153.07500864486877</v>
      </c>
      <c r="G53" s="8">
        <f t="shared" si="2"/>
        <v>0.4844606475148198</v>
      </c>
    </row>
    <row r="54" spans="1:7" ht="13.5">
      <c r="A54" s="4"/>
      <c r="B54" s="5" t="s">
        <v>19</v>
      </c>
      <c r="C54" s="6">
        <v>1994</v>
      </c>
      <c r="D54" s="7">
        <f>679466/2068.7</f>
        <v>328.4507178421231</v>
      </c>
      <c r="E54" s="7">
        <f>339173.34/2068.7</f>
        <v>163.95482186880653</v>
      </c>
      <c r="F54" s="7">
        <f t="shared" si="3"/>
        <v>164.49589597331655</v>
      </c>
      <c r="G54" s="8">
        <f t="shared" si="2"/>
        <v>0.5008236762398707</v>
      </c>
    </row>
    <row r="55" spans="1:7" ht="13.5">
      <c r="A55" s="4"/>
      <c r="B55" s="5" t="s">
        <v>20</v>
      </c>
      <c r="C55" s="6">
        <v>1994</v>
      </c>
      <c r="D55" s="7">
        <f>701925/2121.45</f>
        <v>330.8703952485329</v>
      </c>
      <c r="E55" s="7">
        <f>339173.34/2121.45</f>
        <v>159.87807395884892</v>
      </c>
      <c r="F55" s="7">
        <f t="shared" si="3"/>
        <v>170.99232128968396</v>
      </c>
      <c r="G55" s="8">
        <f t="shared" si="2"/>
        <v>0.5167954696014532</v>
      </c>
    </row>
    <row r="56" spans="1:7" ht="13.5">
      <c r="A56" s="4"/>
      <c r="B56" s="5" t="s">
        <v>21</v>
      </c>
      <c r="C56" s="6">
        <v>1994</v>
      </c>
      <c r="D56" s="7">
        <f>719981/2161.27</f>
        <v>333.1286697173421</v>
      </c>
      <c r="E56" s="7">
        <f>339173.34/2161.27</f>
        <v>156.9324239914495</v>
      </c>
      <c r="F56" s="7">
        <f t="shared" si="3"/>
        <v>176.19624572589262</v>
      </c>
      <c r="G56" s="8">
        <f t="shared" si="2"/>
        <v>0.5289134852169709</v>
      </c>
    </row>
    <row r="57" spans="1:7" ht="13.5">
      <c r="A57" s="4"/>
      <c r="B57" s="5" t="s">
        <v>15</v>
      </c>
      <c r="C57" s="6">
        <v>1994</v>
      </c>
      <c r="D57" s="7">
        <f>731723/2170.38</f>
        <v>337.14050074180557</v>
      </c>
      <c r="E57" s="7">
        <f>339173.34/2170.38</f>
        <v>156.27371243745336</v>
      </c>
      <c r="F57" s="7">
        <f t="shared" si="3"/>
        <v>180.8667883043522</v>
      </c>
      <c r="G57" s="8">
        <f t="shared" si="2"/>
        <v>0.5364730369279085</v>
      </c>
    </row>
    <row r="58" spans="1:7" ht="13.5">
      <c r="A58" s="4"/>
      <c r="B58" s="5" t="s">
        <v>12</v>
      </c>
      <c r="C58" s="6">
        <v>1994</v>
      </c>
      <c r="D58" s="7">
        <f>744570/2180.99</f>
        <v>341.3908362716015</v>
      </c>
      <c r="E58" s="7">
        <f>339173.34/2180.99</f>
        <v>155.51347782429082</v>
      </c>
      <c r="F58" s="7">
        <f t="shared" si="3"/>
        <v>185.87735844731066</v>
      </c>
      <c r="G58" s="8">
        <f t="shared" si="2"/>
        <v>0.5444708489463718</v>
      </c>
    </row>
    <row r="59" spans="1:7" ht="13.5">
      <c r="A59" s="4"/>
      <c r="B59" s="5" t="s">
        <v>7</v>
      </c>
      <c r="C59" s="6">
        <v>1994</v>
      </c>
      <c r="D59" s="7">
        <f>754187/2199.46</f>
        <v>342.89643821665317</v>
      </c>
      <c r="E59" s="7">
        <f>431480/2199.46</f>
        <v>196.17542487701527</v>
      </c>
      <c r="F59" s="7">
        <f t="shared" si="3"/>
        <v>146.7210133396379</v>
      </c>
      <c r="G59" s="8">
        <f t="shared" si="2"/>
        <v>0.427887248122813</v>
      </c>
    </row>
    <row r="60" spans="1:7" ht="13.5">
      <c r="A60" s="4"/>
      <c r="B60" s="5" t="s">
        <v>11</v>
      </c>
      <c r="C60" s="6">
        <v>1994</v>
      </c>
      <c r="D60" s="7">
        <f>765234/2241.19</f>
        <v>341.4409309340127</v>
      </c>
      <c r="E60" s="7">
        <f>431480/2241.19</f>
        <v>192.5227223037761</v>
      </c>
      <c r="F60" s="7">
        <f t="shared" si="3"/>
        <v>148.91820863023662</v>
      </c>
      <c r="G60" s="8">
        <f t="shared" si="2"/>
        <v>0.43614632909672074</v>
      </c>
    </row>
    <row r="61" spans="1:7" ht="13.5">
      <c r="A61" s="4"/>
      <c r="B61" s="5" t="s">
        <v>14</v>
      </c>
      <c r="C61" s="6">
        <v>1994</v>
      </c>
      <c r="D61" s="7">
        <f>777623/2262.92</f>
        <v>343.63698230604706</v>
      </c>
      <c r="E61" s="7">
        <f>431480/2262.92</f>
        <v>190.6739964293921</v>
      </c>
      <c r="F61" s="7">
        <f t="shared" si="3"/>
        <v>152.96298587665495</v>
      </c>
      <c r="G61" s="8">
        <f t="shared" si="2"/>
        <v>0.44512958078657655</v>
      </c>
    </row>
    <row r="62" spans="1:7" ht="13.5">
      <c r="A62" s="4"/>
      <c r="B62" s="5" t="s">
        <v>16</v>
      </c>
      <c r="C62" s="6">
        <v>1994</v>
      </c>
      <c r="D62" s="7">
        <f>791710/2279.27</f>
        <v>347.3524417905733</v>
      </c>
      <c r="E62" s="7">
        <f>431480/2279.27</f>
        <v>189.3062252387826</v>
      </c>
      <c r="F62" s="7">
        <f t="shared" si="3"/>
        <v>158.04621655179074</v>
      </c>
      <c r="G62" s="8">
        <f t="shared" si="2"/>
        <v>0.4550024630230767</v>
      </c>
    </row>
    <row r="63" spans="1:7" ht="13.5">
      <c r="A63" s="4"/>
      <c r="B63" s="5" t="s">
        <v>6</v>
      </c>
      <c r="C63" s="6">
        <v>1994</v>
      </c>
      <c r="D63" s="7">
        <f>807400/2303.73</f>
        <v>350.475099078451</v>
      </c>
      <c r="E63" s="7">
        <f>431480/2303.73</f>
        <v>187.2962543353605</v>
      </c>
      <c r="F63" s="7">
        <f t="shared" si="3"/>
        <v>163.17884474309054</v>
      </c>
      <c r="G63" s="8">
        <f t="shared" si="2"/>
        <v>0.4655932623235075</v>
      </c>
    </row>
    <row r="64" spans="1:7" ht="13.5">
      <c r="A64" s="4"/>
      <c r="B64" s="5" t="s">
        <v>17</v>
      </c>
      <c r="C64" s="6">
        <v>1994</v>
      </c>
      <c r="D64" s="7">
        <f>831727/2299.28</f>
        <v>361.7336731498556</v>
      </c>
      <c r="E64" s="7">
        <f>431480/2299.28</f>
        <v>187.65874534636927</v>
      </c>
      <c r="F64" s="7">
        <f t="shared" si="3"/>
        <v>174.0749278034863</v>
      </c>
      <c r="G64" s="8">
        <f t="shared" si="2"/>
        <v>0.4812240073966578</v>
      </c>
    </row>
    <row r="65" spans="1:7" ht="13.5">
      <c r="A65" s="4"/>
      <c r="B65" s="5" t="s">
        <v>18</v>
      </c>
      <c r="C65" s="6">
        <v>1995</v>
      </c>
      <c r="D65" s="7">
        <f>858832/2348.91</f>
        <v>365.6300156242683</v>
      </c>
      <c r="E65" s="7">
        <f>533580.84/2348.91</f>
        <v>227.16104065289858</v>
      </c>
      <c r="F65" s="7">
        <f t="shared" si="3"/>
        <v>138.46897497136973</v>
      </c>
      <c r="G65" s="8">
        <f t="shared" si="2"/>
        <v>0.37871336885444423</v>
      </c>
    </row>
    <row r="66" spans="1:7" ht="13.5">
      <c r="A66" s="4"/>
      <c r="B66" s="5" t="s">
        <v>19</v>
      </c>
      <c r="C66" s="6">
        <v>1995</v>
      </c>
      <c r="D66" s="7">
        <f>876887/2353.18</f>
        <v>372.63915212605923</v>
      </c>
      <c r="E66" s="7">
        <f>533580.84/2353.18</f>
        <v>226.74884199253776</v>
      </c>
      <c r="F66" s="7">
        <f t="shared" si="3"/>
        <v>145.89031013352147</v>
      </c>
      <c r="G66" s="8">
        <f t="shared" si="2"/>
        <v>0.39150558737898955</v>
      </c>
    </row>
    <row r="67" spans="1:7" ht="13.5">
      <c r="A67" s="4"/>
      <c r="B67" s="5" t="s">
        <v>20</v>
      </c>
      <c r="C67" s="6">
        <v>1995</v>
      </c>
      <c r="D67" s="7">
        <f>893171/2406.9</f>
        <v>371.08770617807136</v>
      </c>
      <c r="E67" s="7">
        <f>533580.84/2353.18</f>
        <v>226.74884199253776</v>
      </c>
      <c r="F67" s="7">
        <f t="shared" si="3"/>
        <v>144.3388641855336</v>
      </c>
      <c r="G67" s="8">
        <f t="shared" si="2"/>
        <v>0.3889615898950602</v>
      </c>
    </row>
    <row r="68" spans="1:7" ht="13.5">
      <c r="A68" s="4"/>
      <c r="B68" s="5" t="s">
        <v>21</v>
      </c>
      <c r="C68" s="6">
        <v>1995</v>
      </c>
      <c r="D68" s="7">
        <f>908054/2433.48</f>
        <v>373.15038545621906</v>
      </c>
      <c r="E68" s="7">
        <f>533580.84/2353.18</f>
        <v>226.74884199253776</v>
      </c>
      <c r="F68" s="7">
        <f t="shared" si="3"/>
        <v>146.4015434636813</v>
      </c>
      <c r="G68" s="8">
        <f t="shared" si="2"/>
        <v>0.392339252938701</v>
      </c>
    </row>
    <row r="69" spans="1:7" ht="13.5">
      <c r="A69" s="4"/>
      <c r="B69" s="5" t="s">
        <v>15</v>
      </c>
      <c r="C69" s="6">
        <v>1995</v>
      </c>
      <c r="D69" s="7">
        <f>924438/2458.45</f>
        <v>376.02473102971385</v>
      </c>
      <c r="E69" s="7">
        <f>533580.84/2353.18</f>
        <v>226.74884199253776</v>
      </c>
      <c r="F69" s="7">
        <f t="shared" si="3"/>
        <v>149.27588903717609</v>
      </c>
      <c r="G69" s="8">
        <f t="shared" si="2"/>
        <v>0.39698423193707477</v>
      </c>
    </row>
    <row r="70" spans="1:7" ht="13.5">
      <c r="A70" s="4"/>
      <c r="B70" s="5" t="s">
        <v>12</v>
      </c>
      <c r="C70" s="6">
        <v>1995</v>
      </c>
      <c r="D70" s="7">
        <f>939524/2532.87</f>
        <v>370.9325784584286</v>
      </c>
      <c r="E70" s="7">
        <f>533580.84/2353.18</f>
        <v>226.74884199253776</v>
      </c>
      <c r="F70" s="7">
        <f t="shared" si="3"/>
        <v>144.18373646589086</v>
      </c>
      <c r="G70" s="8">
        <f t="shared" si="2"/>
        <v>0.38870604751167714</v>
      </c>
    </row>
    <row r="71" spans="1:7" ht="13.5">
      <c r="A71" s="4"/>
      <c r="B71" s="5" t="s">
        <v>7</v>
      </c>
      <c r="C71" s="6">
        <v>1995</v>
      </c>
      <c r="D71" s="7">
        <f>951695/2575.32</f>
        <v>369.5443673019275</v>
      </c>
      <c r="E71" s="7">
        <f>571952.5/2575.32</f>
        <v>222.0898762095584</v>
      </c>
      <c r="F71" s="7">
        <f t="shared" si="3"/>
        <v>147.45449109236907</v>
      </c>
      <c r="G71" s="8">
        <f t="shared" si="2"/>
        <v>0.3990170170064989</v>
      </c>
    </row>
    <row r="72" spans="1:7" ht="13.5">
      <c r="A72" s="4"/>
      <c r="B72" s="5" t="s">
        <v>11</v>
      </c>
      <c r="C72" s="6">
        <v>1995</v>
      </c>
      <c r="D72" s="7">
        <f>964457/2594.51</f>
        <v>371.7299220276661</v>
      </c>
      <c r="E72" s="7">
        <f>571952.5/2575.32</f>
        <v>222.0898762095584</v>
      </c>
      <c r="F72" s="7">
        <f t="shared" si="3"/>
        <v>149.64004581810767</v>
      </c>
      <c r="G72" s="8">
        <f t="shared" si="2"/>
        <v>0.40255044576952476</v>
      </c>
    </row>
    <row r="73" spans="1:7" ht="13.5">
      <c r="A73" s="4"/>
      <c r="B73" s="5" t="s">
        <v>14</v>
      </c>
      <c r="C73" s="6">
        <v>1995</v>
      </c>
      <c r="D73" s="7">
        <f>995604/2632.68</f>
        <v>378.17129313095404</v>
      </c>
      <c r="E73" s="7">
        <f>578392.5/2594.51</f>
        <v>222.9293778015887</v>
      </c>
      <c r="F73" s="7">
        <f t="shared" si="3"/>
        <v>155.24191532936533</v>
      </c>
      <c r="G73" s="8">
        <f t="shared" si="2"/>
        <v>0.41050687386683204</v>
      </c>
    </row>
    <row r="74" spans="1:7" ht="13.5">
      <c r="A74" s="4"/>
      <c r="B74" s="5" t="s">
        <v>16</v>
      </c>
      <c r="C74" s="6">
        <v>1995</v>
      </c>
      <c r="D74" s="7">
        <f>1019271/2679.52</f>
        <v>380.39313011285606</v>
      </c>
      <c r="E74" s="7">
        <f>578392.5/2594.51</f>
        <v>222.9293778015887</v>
      </c>
      <c r="F74" s="7">
        <f t="shared" si="3"/>
        <v>157.46375231126734</v>
      </c>
      <c r="G74" s="8">
        <f t="shared" si="2"/>
        <v>0.4139500423273958</v>
      </c>
    </row>
    <row r="75" spans="1:7" ht="13.5">
      <c r="A75" s="4"/>
      <c r="B75" s="5" t="s">
        <v>6</v>
      </c>
      <c r="C75" s="6">
        <v>1995</v>
      </c>
      <c r="D75" s="7">
        <f>1036873/2805.95</f>
        <v>369.52654181293326</v>
      </c>
      <c r="E75" s="7">
        <f>578392.5/2594.51</f>
        <v>222.9293778015887</v>
      </c>
      <c r="F75" s="7">
        <f t="shared" si="3"/>
        <v>146.59716401134455</v>
      </c>
      <c r="G75" s="8">
        <f t="shared" si="2"/>
        <v>0.39671619606030073</v>
      </c>
    </row>
    <row r="76" spans="1:7" ht="13.5">
      <c r="A76" s="4"/>
      <c r="B76" s="5" t="s">
        <v>17</v>
      </c>
      <c r="C76" s="6">
        <v>1995</v>
      </c>
      <c r="D76" s="7">
        <f>1053989/2917.82</f>
        <v>361.2248185289017</v>
      </c>
      <c r="E76" s="7">
        <f>578392.5/2594.51</f>
        <v>222.9293778015887</v>
      </c>
      <c r="F76" s="7">
        <f t="shared" si="3"/>
        <v>138.295440727313</v>
      </c>
      <c r="G76" s="8">
        <f t="shared" si="2"/>
        <v>0.3828514366496884</v>
      </c>
    </row>
    <row r="77" spans="1:7" ht="13.5">
      <c r="A77" s="4"/>
      <c r="B77" s="5" t="s">
        <v>18</v>
      </c>
      <c r="C77" s="6">
        <v>1996</v>
      </c>
      <c r="D77" s="7">
        <f>1083559/2923.55</f>
        <v>370.63125309982723</v>
      </c>
      <c r="E77" s="7">
        <f aca="true" t="shared" si="4" ref="E77:E82">730539/2923.55</f>
        <v>249.8807956080792</v>
      </c>
      <c r="F77" s="7">
        <f t="shared" si="3"/>
        <v>120.75045749174802</v>
      </c>
      <c r="G77" s="8">
        <f t="shared" si="2"/>
        <v>0.32579674941558323</v>
      </c>
    </row>
    <row r="78" spans="1:7" ht="13.5">
      <c r="A78" s="4"/>
      <c r="B78" s="5" t="s">
        <v>19</v>
      </c>
      <c r="C78" s="6">
        <v>1996</v>
      </c>
      <c r="D78" s="7">
        <f>1113233/2951.21</f>
        <v>377.21239762673616</v>
      </c>
      <c r="E78" s="7">
        <f t="shared" si="4"/>
        <v>249.8807956080792</v>
      </c>
      <c r="F78" s="7">
        <f t="shared" si="3"/>
        <v>127.33160201865695</v>
      </c>
      <c r="G78" s="8">
        <f t="shared" si="2"/>
        <v>0.33755943023022184</v>
      </c>
    </row>
    <row r="79" spans="1:7" ht="13.5">
      <c r="A79" s="4"/>
      <c r="B79" s="5" t="s">
        <v>20</v>
      </c>
      <c r="C79" s="6">
        <v>1996</v>
      </c>
      <c r="D79" s="7">
        <f>1143099/3023.72</f>
        <v>378.04393263926556</v>
      </c>
      <c r="E79" s="7">
        <f t="shared" si="4"/>
        <v>249.8807956080792</v>
      </c>
      <c r="F79" s="7">
        <f t="shared" si="3"/>
        <v>128.16313703118635</v>
      </c>
      <c r="G79" s="8">
        <f t="shared" si="2"/>
        <v>0.33901651624569595</v>
      </c>
    </row>
    <row r="80" spans="1:7" ht="13.5">
      <c r="A80" s="4"/>
      <c r="B80" s="5" t="s">
        <v>21</v>
      </c>
      <c r="C80" s="6">
        <v>1996</v>
      </c>
      <c r="D80" s="7">
        <f>1165373/3072.53</f>
        <v>379.2877530894735</v>
      </c>
      <c r="E80" s="7">
        <f t="shared" si="4"/>
        <v>249.8807956080792</v>
      </c>
      <c r="F80" s="7">
        <f t="shared" si="3"/>
        <v>129.40695748139427</v>
      </c>
      <c r="G80" s="8">
        <f t="shared" si="2"/>
        <v>0.3411841179350374</v>
      </c>
    </row>
    <row r="81" spans="1:7" ht="13.5">
      <c r="A81" s="4"/>
      <c r="B81" s="5" t="s">
        <v>15</v>
      </c>
      <c r="C81" s="6">
        <v>1996</v>
      </c>
      <c r="D81" s="7">
        <f>1175295/3117.55</f>
        <v>376.9931516735898</v>
      </c>
      <c r="E81" s="7">
        <f t="shared" si="4"/>
        <v>249.8807956080792</v>
      </c>
      <c r="F81" s="7">
        <f t="shared" si="3"/>
        <v>127.1123560655106</v>
      </c>
      <c r="G81" s="8">
        <f t="shared" si="2"/>
        <v>0.3371741781016958</v>
      </c>
    </row>
    <row r="82" spans="1:7" ht="13.5">
      <c r="A82" s="4"/>
      <c r="B82" s="5" t="s">
        <v>12</v>
      </c>
      <c r="C82" s="6">
        <v>1996</v>
      </c>
      <c r="D82" s="7">
        <f>1201035/3138.82</f>
        <v>382.6390172102892</v>
      </c>
      <c r="E82" s="7">
        <f t="shared" si="4"/>
        <v>249.8807956080792</v>
      </c>
      <c r="F82" s="7">
        <f t="shared" si="3"/>
        <v>132.75822160220997</v>
      </c>
      <c r="G82" s="8">
        <f t="shared" si="2"/>
        <v>0.34695421959347456</v>
      </c>
    </row>
    <row r="83" spans="1:7" ht="13.5">
      <c r="A83" s="4"/>
      <c r="B83" s="5" t="s">
        <v>7</v>
      </c>
      <c r="C83" s="6">
        <v>1996</v>
      </c>
      <c r="D83" s="7">
        <f>1225233/3178.02</f>
        <v>385.5334453527668</v>
      </c>
      <c r="E83" s="7">
        <f aca="true" t="shared" si="5" ref="E83:E88">827138/3178.02</f>
        <v>260.26834318223297</v>
      </c>
      <c r="F83" s="7">
        <f t="shared" si="3"/>
        <v>125.26510217053385</v>
      </c>
      <c r="G83" s="8">
        <f t="shared" si="2"/>
        <v>0.324913710290206</v>
      </c>
    </row>
    <row r="84" spans="1:7" ht="13.5">
      <c r="A84" s="54" t="s">
        <v>24</v>
      </c>
      <c r="B84" s="59" t="s">
        <v>11</v>
      </c>
      <c r="C84" s="56">
        <v>1996</v>
      </c>
      <c r="D84" s="57">
        <f>1249701/3272.21</f>
        <v>381.9134468753534</v>
      </c>
      <c r="E84" s="57">
        <f t="shared" si="5"/>
        <v>260.26834318223297</v>
      </c>
      <c r="F84" s="57">
        <f t="shared" si="3"/>
        <v>121.6451036931204</v>
      </c>
      <c r="G84" s="58">
        <f t="shared" si="2"/>
        <v>0.3185148485563071</v>
      </c>
    </row>
    <row r="85" spans="1:7" ht="13.5">
      <c r="A85" s="54"/>
      <c r="B85" s="59" t="s">
        <v>14</v>
      </c>
      <c r="C85" s="56">
        <v>1996</v>
      </c>
      <c r="D85" s="57">
        <f>1279034/3296.72</f>
        <v>387.97168094348325</v>
      </c>
      <c r="E85" s="57">
        <f t="shared" si="5"/>
        <v>260.26834318223297</v>
      </c>
      <c r="F85" s="57">
        <f t="shared" si="3"/>
        <v>127.70333776125028</v>
      </c>
      <c r="G85" s="58">
        <f t="shared" si="2"/>
        <v>0.3291563380365721</v>
      </c>
    </row>
    <row r="86" spans="1:7" ht="13.5">
      <c r="A86" s="54"/>
      <c r="B86" s="59" t="s">
        <v>16</v>
      </c>
      <c r="C86" s="56">
        <v>1996</v>
      </c>
      <c r="D86" s="57">
        <f>1311802/3323.8</f>
        <v>394.66935435345084</v>
      </c>
      <c r="E86" s="57">
        <f t="shared" si="5"/>
        <v>260.26834318223297</v>
      </c>
      <c r="F86" s="57">
        <f t="shared" si="3"/>
        <v>134.40101117121787</v>
      </c>
      <c r="G86" s="58">
        <f t="shared" si="2"/>
        <v>0.34054078354118533</v>
      </c>
    </row>
    <row r="87" spans="1:7" ht="13.5">
      <c r="A87" s="54"/>
      <c r="B87" s="59" t="s">
        <v>6</v>
      </c>
      <c r="C87" s="56">
        <v>1996</v>
      </c>
      <c r="D87" s="57">
        <f>1329621/3405.56</f>
        <v>390.426537779396</v>
      </c>
      <c r="E87" s="57">
        <f t="shared" si="5"/>
        <v>260.26834318223297</v>
      </c>
      <c r="F87" s="57">
        <f t="shared" si="3"/>
        <v>130.15819459716306</v>
      </c>
      <c r="G87" s="58">
        <f t="shared" si="2"/>
        <v>0.33337435343779515</v>
      </c>
    </row>
    <row r="88" spans="1:7" ht="13.5">
      <c r="A88" s="54"/>
      <c r="B88" s="59" t="s">
        <v>17</v>
      </c>
      <c r="C88" s="56">
        <v>1996</v>
      </c>
      <c r="D88" s="57">
        <f>1351061/3592.21</f>
        <v>376.1085793981978</v>
      </c>
      <c r="E88" s="57">
        <f t="shared" si="5"/>
        <v>260.26834318223297</v>
      </c>
      <c r="F88" s="57">
        <f t="shared" si="3"/>
        <v>115.84023621596481</v>
      </c>
      <c r="G88" s="58">
        <f t="shared" si="2"/>
        <v>0.3079967928445503</v>
      </c>
    </row>
    <row r="89" spans="1:7" ht="13.5">
      <c r="A89" s="54"/>
      <c r="B89" s="59" t="s">
        <v>18</v>
      </c>
      <c r="C89" s="56">
        <v>1997</v>
      </c>
      <c r="D89" s="57">
        <f>1422699/3672.81</f>
        <v>387.35981442002173</v>
      </c>
      <c r="E89" s="57">
        <f aca="true" t="shared" si="6" ref="E89:E94">935008/3672.81</f>
        <v>254.57565188506894</v>
      </c>
      <c r="F89" s="57">
        <f t="shared" si="3"/>
        <v>132.7841625349528</v>
      </c>
      <c r="G89" s="58">
        <f t="shared" si="2"/>
        <v>0.3427928184387562</v>
      </c>
    </row>
    <row r="90" spans="1:7" ht="13.5">
      <c r="A90" s="54"/>
      <c r="B90" s="59" t="s">
        <v>19</v>
      </c>
      <c r="C90" s="56">
        <v>1997</v>
      </c>
      <c r="D90" s="57">
        <f>1470664/3739.57</f>
        <v>393.2708840856034</v>
      </c>
      <c r="E90" s="57">
        <f t="shared" si="6"/>
        <v>254.57565188506894</v>
      </c>
      <c r="F90" s="57">
        <f t="shared" si="3"/>
        <v>138.6952322005345</v>
      </c>
      <c r="G90" s="58">
        <f t="shared" si="2"/>
        <v>0.35267099043707656</v>
      </c>
    </row>
    <row r="91" spans="1:7" ht="13.5">
      <c r="A91" s="9" t="s">
        <v>25</v>
      </c>
      <c r="B91" s="10" t="s">
        <v>20</v>
      </c>
      <c r="C91" s="11">
        <v>1997</v>
      </c>
      <c r="D91" s="12">
        <f>1494343/3784.11</f>
        <v>394.8994611678836</v>
      </c>
      <c r="E91" s="12">
        <f t="shared" si="6"/>
        <v>254.57565188506894</v>
      </c>
      <c r="F91" s="12">
        <f t="shared" si="3"/>
        <v>140.32380928281466</v>
      </c>
      <c r="G91" s="13">
        <f t="shared" si="2"/>
        <v>0.3553405944586964</v>
      </c>
    </row>
    <row r="92" spans="1:7" ht="13.5">
      <c r="A92" s="9"/>
      <c r="B92" s="10" t="s">
        <v>21</v>
      </c>
      <c r="C92" s="11">
        <v>1997</v>
      </c>
      <c r="D92" s="12">
        <f>1528371/3834.08</f>
        <v>398.6278324917581</v>
      </c>
      <c r="E92" s="12">
        <f t="shared" si="6"/>
        <v>254.57565188506894</v>
      </c>
      <c r="F92" s="12">
        <f t="shared" si="3"/>
        <v>144.05218060668918</v>
      </c>
      <c r="G92" s="13">
        <f t="shared" si="2"/>
        <v>0.361370102298784</v>
      </c>
    </row>
    <row r="93" spans="1:7" ht="13.5">
      <c r="A93" s="9"/>
      <c r="B93" s="10" t="s">
        <v>15</v>
      </c>
      <c r="C93" s="11">
        <v>1997</v>
      </c>
      <c r="D93" s="12">
        <f>1542238/3898.22</f>
        <v>395.6262088850809</v>
      </c>
      <c r="E93" s="12">
        <f t="shared" si="6"/>
        <v>254.57565188506894</v>
      </c>
      <c r="F93" s="12">
        <f>+D93-E93</f>
        <v>141.050557000012</v>
      </c>
      <c r="G93" s="13">
        <f t="shared" si="2"/>
        <v>0.3565248050615966</v>
      </c>
    </row>
    <row r="94" spans="1:7" ht="13.5">
      <c r="A94" s="9"/>
      <c r="B94" s="10" t="s">
        <v>12</v>
      </c>
      <c r="C94" s="11">
        <v>1997</v>
      </c>
      <c r="D94" s="12">
        <f>1565405/3954.85</f>
        <v>395.81905761280456</v>
      </c>
      <c r="E94" s="12">
        <f t="shared" si="6"/>
        <v>254.57565188506894</v>
      </c>
      <c r="F94" s="12">
        <f aca="true" t="shared" si="7" ref="F94:F107">+D94-E94</f>
        <v>141.24340572773562</v>
      </c>
      <c r="G94" s="13">
        <f t="shared" si="2"/>
        <v>0.3568383154150748</v>
      </c>
    </row>
    <row r="95" spans="1:7" ht="13.5">
      <c r="A95" s="9"/>
      <c r="B95" s="10" t="s">
        <v>7</v>
      </c>
      <c r="C95" s="11">
        <v>1997</v>
      </c>
      <c r="D95" s="12">
        <f>1603613/4018.64</f>
        <v>399.0437063285092</v>
      </c>
      <c r="E95" s="12">
        <f aca="true" t="shared" si="8" ref="E95:E100">1026913/4018.64</f>
        <v>255.5374455039516</v>
      </c>
      <c r="F95" s="12">
        <f t="shared" si="7"/>
        <v>143.5062608245576</v>
      </c>
      <c r="G95" s="13">
        <f t="shared" si="2"/>
        <v>0.3596254208465509</v>
      </c>
    </row>
    <row r="96" spans="1:7" ht="13.5">
      <c r="A96" s="9"/>
      <c r="B96" s="10" t="s">
        <v>11</v>
      </c>
      <c r="C96" s="11">
        <v>1997</v>
      </c>
      <c r="D96" s="12">
        <f>1630201/4080.24</f>
        <v>399.5355665353019</v>
      </c>
      <c r="E96" s="12">
        <f t="shared" si="8"/>
        <v>255.5374455039516</v>
      </c>
      <c r="F96" s="12">
        <f t="shared" si="7"/>
        <v>143.99812103135028</v>
      </c>
      <c r="G96" s="13">
        <f t="shared" si="2"/>
        <v>0.36041377312181544</v>
      </c>
    </row>
    <row r="97" spans="1:7" ht="13.5">
      <c r="A97" s="9"/>
      <c r="B97" s="10" t="s">
        <v>14</v>
      </c>
      <c r="C97" s="11">
        <v>1997</v>
      </c>
      <c r="D97" s="12">
        <f>1661520/4130.39</f>
        <v>402.2670982643285</v>
      </c>
      <c r="E97" s="12">
        <f t="shared" si="8"/>
        <v>255.5374455039516</v>
      </c>
      <c r="F97" s="12">
        <f t="shared" si="7"/>
        <v>146.72965276037692</v>
      </c>
      <c r="G97" s="13">
        <f t="shared" si="2"/>
        <v>0.3647567832255605</v>
      </c>
    </row>
    <row r="98" spans="1:7" ht="13.5">
      <c r="A98" s="9"/>
      <c r="B98" s="10" t="s">
        <v>16</v>
      </c>
      <c r="C98" s="11">
        <v>1997</v>
      </c>
      <c r="D98" s="12">
        <f>1701392/4194.89</f>
        <v>405.5867972700118</v>
      </c>
      <c r="E98" s="12">
        <f t="shared" si="8"/>
        <v>255.5374455039516</v>
      </c>
      <c r="F98" s="12">
        <f t="shared" si="7"/>
        <v>150.0493517660602</v>
      </c>
      <c r="G98" s="13">
        <f t="shared" si="2"/>
        <v>0.3699562036437977</v>
      </c>
    </row>
    <row r="99" spans="1:7" ht="13.5">
      <c r="A99" s="9"/>
      <c r="B99" s="10" t="s">
        <v>6</v>
      </c>
      <c r="C99" s="11">
        <v>1997</v>
      </c>
      <c r="D99" s="12">
        <f>1730599/4277.9</f>
        <v>404.54405198812503</v>
      </c>
      <c r="E99" s="12">
        <f t="shared" si="8"/>
        <v>255.5374455039516</v>
      </c>
      <c r="F99" s="12">
        <f t="shared" si="7"/>
        <v>149.00660648417343</v>
      </c>
      <c r="G99" s="13">
        <f t="shared" si="2"/>
        <v>0.368332214382792</v>
      </c>
    </row>
    <row r="100" spans="1:7" ht="13.5">
      <c r="A100" s="9"/>
      <c r="B100" s="10" t="s">
        <v>17</v>
      </c>
      <c r="C100" s="11">
        <v>1997</v>
      </c>
      <c r="D100" s="12">
        <f>1756143/4393.58</f>
        <v>399.70661738263556</v>
      </c>
      <c r="E100" s="12">
        <f t="shared" si="8"/>
        <v>255.5374455039516</v>
      </c>
      <c r="F100" s="12">
        <f t="shared" si="7"/>
        <v>144.16917187868395</v>
      </c>
      <c r="G100" s="13">
        <f t="shared" si="2"/>
        <v>0.3606874782877865</v>
      </c>
    </row>
    <row r="101" spans="1:7" ht="13.5">
      <c r="A101" s="9"/>
      <c r="B101" s="10" t="s">
        <v>18</v>
      </c>
      <c r="C101" s="11">
        <v>1998</v>
      </c>
      <c r="D101" s="12">
        <f>1807926/4498.55</f>
        <v>401.8908314901468</v>
      </c>
      <c r="E101" s="12">
        <f>1122977/4498.55</f>
        <v>249.6308810616754</v>
      </c>
      <c r="F101" s="12">
        <f t="shared" si="7"/>
        <v>152.2599504284714</v>
      </c>
      <c r="G101" s="13">
        <f t="shared" si="2"/>
        <v>0.3788589798476265</v>
      </c>
    </row>
    <row r="102" spans="1:7" ht="13.5">
      <c r="A102" s="9"/>
      <c r="B102" s="10" t="s">
        <v>19</v>
      </c>
      <c r="C102" s="11">
        <v>1998</v>
      </c>
      <c r="D102" s="12">
        <f>1843036/4537.65</f>
        <v>406.16530583011036</v>
      </c>
      <c r="E102" s="12">
        <f>1122977/4498.55</f>
        <v>249.6308810616754</v>
      </c>
      <c r="F102" s="12">
        <f t="shared" si="7"/>
        <v>156.53442476843495</v>
      </c>
      <c r="G102" s="13">
        <f t="shared" si="2"/>
        <v>0.3853958536623749</v>
      </c>
    </row>
    <row r="103" spans="1:7" ht="13.5">
      <c r="A103" s="9"/>
      <c r="B103" s="10" t="s">
        <v>20</v>
      </c>
      <c r="C103" s="11">
        <v>1998</v>
      </c>
      <c r="D103" s="12">
        <f>1886602/4658.39</f>
        <v>404.99013607705666</v>
      </c>
      <c r="E103" s="12">
        <f>1122977/4498.55</f>
        <v>249.6308810616754</v>
      </c>
      <c r="F103" s="12">
        <f t="shared" si="7"/>
        <v>155.35925501538125</v>
      </c>
      <c r="G103" s="13">
        <f t="shared" si="2"/>
        <v>0.3836124418245618</v>
      </c>
    </row>
    <row r="104" spans="1:7" ht="13.5">
      <c r="A104" s="9"/>
      <c r="B104" s="10" t="s">
        <v>21</v>
      </c>
      <c r="C104" s="11">
        <v>1998</v>
      </c>
      <c r="D104" s="12">
        <f>1969965/4960</f>
        <v>397.1703629032258</v>
      </c>
      <c r="E104" s="12">
        <f>1122977/4498.55</f>
        <v>249.6308810616754</v>
      </c>
      <c r="F104" s="12">
        <f t="shared" si="7"/>
        <v>147.53948184155038</v>
      </c>
      <c r="G104" s="13">
        <f t="shared" si="2"/>
        <v>0.37147656427098447</v>
      </c>
    </row>
    <row r="105" spans="1:7" ht="13.5">
      <c r="A105" s="9"/>
      <c r="B105" s="10" t="s">
        <v>15</v>
      </c>
      <c r="C105" s="11">
        <v>1998</v>
      </c>
      <c r="D105" s="12">
        <f>2004412/5150.82</f>
        <v>389.1442527597548</v>
      </c>
      <c r="E105" s="12">
        <f>1135857/5150.82</f>
        <v>220.5196454156814</v>
      </c>
      <c r="F105" s="12">
        <f t="shared" si="7"/>
        <v>168.6246073440734</v>
      </c>
      <c r="G105" s="13">
        <f t="shared" si="2"/>
        <v>0.4333215925667977</v>
      </c>
    </row>
    <row r="106" spans="1:7" ht="13.5">
      <c r="A106" s="9"/>
      <c r="B106" s="10" t="s">
        <v>12</v>
      </c>
      <c r="C106" s="11">
        <v>1998</v>
      </c>
      <c r="D106" s="12">
        <f>2071303/5235.62</f>
        <v>395.61751998808165</v>
      </c>
      <c r="E106" s="12">
        <f>1135857/5150.82</f>
        <v>220.5196454156814</v>
      </c>
      <c r="F106" s="12">
        <f t="shared" si="7"/>
        <v>175.09787457240026</v>
      </c>
      <c r="G106" s="13">
        <f t="shared" si="2"/>
        <v>0.44259383299727284</v>
      </c>
    </row>
    <row r="107" spans="1:7" ht="13.5">
      <c r="A107" s="9"/>
      <c r="B107" s="10" t="s">
        <v>7</v>
      </c>
      <c r="C107" s="11">
        <v>1998</v>
      </c>
      <c r="D107" s="12">
        <f>2103799/5301.8</f>
        <v>396.8084424157833</v>
      </c>
      <c r="E107" s="12">
        <f>1259827/5301.8</f>
        <v>237.622505564148</v>
      </c>
      <c r="F107" s="12">
        <f t="shared" si="7"/>
        <v>159.1859368516353</v>
      </c>
      <c r="G107" s="13">
        <f t="shared" si="2"/>
        <v>0.4011657007157053</v>
      </c>
    </row>
    <row r="108" spans="1:7" ht="13.5">
      <c r="A108" s="54" t="s">
        <v>26</v>
      </c>
      <c r="B108" s="59" t="s">
        <v>11</v>
      </c>
      <c r="C108" s="56">
        <v>1998</v>
      </c>
      <c r="D108" s="57">
        <f>2140723/5432.23</f>
        <v>394.0781226126287</v>
      </c>
      <c r="E108" s="57">
        <f>1259827/5301.8</f>
        <v>237.622505564148</v>
      </c>
      <c r="F108" s="57">
        <f aca="true" t="shared" si="9" ref="F108:F129">D108-E108</f>
        <v>156.4556170484807</v>
      </c>
      <c r="G108" s="58">
        <f t="shared" si="2"/>
        <v>0.3970167539654912</v>
      </c>
    </row>
    <row r="109" spans="1:7" ht="13.5">
      <c r="A109" s="54"/>
      <c r="B109" s="59" t="s">
        <v>14</v>
      </c>
      <c r="C109" s="56">
        <v>1998</v>
      </c>
      <c r="D109" s="57">
        <f>2223761/5886.84</f>
        <v>377.7512213683402</v>
      </c>
      <c r="E109" s="57">
        <f>1259827/5301.8</f>
        <v>237.622505564148</v>
      </c>
      <c r="F109" s="57">
        <f t="shared" si="9"/>
        <v>140.1287158041922</v>
      </c>
      <c r="G109" s="58">
        <f t="shared" si="2"/>
        <v>0.37095503039434136</v>
      </c>
    </row>
    <row r="110" spans="1:7" ht="13.5">
      <c r="A110" s="54"/>
      <c r="B110" s="59" t="s">
        <v>16</v>
      </c>
      <c r="C110" s="56">
        <v>1998</v>
      </c>
      <c r="D110" s="57">
        <f>2347114/6619.88</f>
        <v>354.5553695837387</v>
      </c>
      <c r="E110" s="57">
        <f>1433707/6619.88</f>
        <v>216.57598022924887</v>
      </c>
      <c r="F110" s="57">
        <f t="shared" si="9"/>
        <v>137.97938935448983</v>
      </c>
      <c r="G110" s="58">
        <f aca="true" t="shared" si="10" ref="G110:G127">+F110/D110</f>
        <v>0.38916175354073135</v>
      </c>
    </row>
    <row r="111" spans="1:7" ht="13.5">
      <c r="A111" s="54"/>
      <c r="B111" s="59" t="s">
        <v>6</v>
      </c>
      <c r="C111" s="56">
        <v>1998</v>
      </c>
      <c r="D111" s="57">
        <f>2404727/6449.1</f>
        <v>372.87792095021007</v>
      </c>
      <c r="E111" s="57">
        <f>1433707/6619.88</f>
        <v>216.57598022924887</v>
      </c>
      <c r="F111" s="57">
        <f t="shared" si="9"/>
        <v>156.3019407209612</v>
      </c>
      <c r="G111" s="58">
        <f t="shared" si="10"/>
        <v>0.4191772479385606</v>
      </c>
    </row>
    <row r="112" spans="1:7" ht="13.5">
      <c r="A112" s="54"/>
      <c r="B112" s="59" t="s">
        <v>17</v>
      </c>
      <c r="C112" s="56">
        <v>1998</v>
      </c>
      <c r="D112" s="57">
        <f>2435098/6582.73</f>
        <v>369.92220552870924</v>
      </c>
      <c r="E112" s="57">
        <f>1433707/6619.88</f>
        <v>216.57598022924887</v>
      </c>
      <c r="F112" s="57">
        <f t="shared" si="9"/>
        <v>153.34622529946037</v>
      </c>
      <c r="G112" s="58">
        <f t="shared" si="10"/>
        <v>0.4145364160561574</v>
      </c>
    </row>
    <row r="113" spans="1:7" ht="13.5">
      <c r="A113" s="54"/>
      <c r="B113" s="59" t="s">
        <v>18</v>
      </c>
      <c r="C113" s="56">
        <v>1999</v>
      </c>
      <c r="D113" s="57">
        <f>2512250/7124.28</f>
        <v>352.63212563234464</v>
      </c>
      <c r="E113" s="57">
        <f>1553603/7124.28</f>
        <v>218.071580566738</v>
      </c>
      <c r="F113" s="57">
        <f t="shared" si="9"/>
        <v>134.56054506560665</v>
      </c>
      <c r="G113" s="58">
        <f t="shared" si="10"/>
        <v>0.3815890138322221</v>
      </c>
    </row>
    <row r="114" spans="1:7" ht="13.5">
      <c r="A114" s="54"/>
      <c r="B114" s="59" t="s">
        <v>19</v>
      </c>
      <c r="C114" s="56">
        <v>1999</v>
      </c>
      <c r="D114" s="57">
        <f>2603742/7762.34</f>
        <v>335.4326143920519</v>
      </c>
      <c r="E114" s="57">
        <f>1553603/7124.28</f>
        <v>218.071580566738</v>
      </c>
      <c r="F114" s="57">
        <f t="shared" si="9"/>
        <v>117.36103382531391</v>
      </c>
      <c r="G114" s="58">
        <f t="shared" si="10"/>
        <v>0.3498796145330786</v>
      </c>
    </row>
    <row r="115" spans="1:7" ht="13.5">
      <c r="A115" s="54"/>
      <c r="B115" s="59" t="s">
        <v>20</v>
      </c>
      <c r="C115" s="56">
        <v>1999</v>
      </c>
      <c r="D115" s="57">
        <f>2875117/10530.26</f>
        <v>273.0338092316809</v>
      </c>
      <c r="E115" s="57">
        <f>1553603/7124.28</f>
        <v>218.071580566738</v>
      </c>
      <c r="F115" s="57">
        <f t="shared" si="9"/>
        <v>54.9622286649429</v>
      </c>
      <c r="G115" s="58">
        <f t="shared" si="10"/>
        <v>0.20130191502512823</v>
      </c>
    </row>
    <row r="116" spans="1:7" ht="13.5">
      <c r="A116" s="54"/>
      <c r="B116" s="59" t="s">
        <v>21</v>
      </c>
      <c r="C116" s="56">
        <v>1999</v>
      </c>
      <c r="D116" s="57">
        <f>3122004/9425.05</f>
        <v>331.24535148354653</v>
      </c>
      <c r="E116" s="57">
        <f>1566483/9425.05</f>
        <v>166.20421111824342</v>
      </c>
      <c r="F116" s="57">
        <f t="shared" si="9"/>
        <v>165.0411403653031</v>
      </c>
      <c r="G116" s="58">
        <f t="shared" si="10"/>
        <v>0.4982443968681654</v>
      </c>
    </row>
    <row r="117" spans="1:7" ht="13.5">
      <c r="A117" s="54"/>
      <c r="B117" s="59" t="s">
        <v>15</v>
      </c>
      <c r="C117" s="56">
        <v>1999</v>
      </c>
      <c r="D117" s="57">
        <f>3168974/9000.54</f>
        <v>352.0870969964024</v>
      </c>
      <c r="E117" s="57">
        <f>1566483/9425.05</f>
        <v>166.20421111824342</v>
      </c>
      <c r="F117" s="57">
        <f t="shared" si="9"/>
        <v>185.882885878159</v>
      </c>
      <c r="G117" s="58">
        <f t="shared" si="10"/>
        <v>0.5279457482648344</v>
      </c>
    </row>
    <row r="118" spans="1:7" ht="13.5">
      <c r="A118" s="54"/>
      <c r="B118" s="59" t="s">
        <v>12</v>
      </c>
      <c r="C118" s="56">
        <v>1999</v>
      </c>
      <c r="D118" s="57">
        <f>3204801/10842.18</f>
        <v>295.5864042102234</v>
      </c>
      <c r="E118" s="57">
        <f>1592243/10842.18</f>
        <v>146.85635176689559</v>
      </c>
      <c r="F118" s="57">
        <f t="shared" si="9"/>
        <v>148.73005244332782</v>
      </c>
      <c r="G118" s="58">
        <f t="shared" si="10"/>
        <v>0.5031694635641963</v>
      </c>
    </row>
    <row r="119" spans="1:7" ht="13.5">
      <c r="A119" s="54"/>
      <c r="B119" s="59" t="s">
        <v>7</v>
      </c>
      <c r="C119" s="56">
        <v>1999</v>
      </c>
      <c r="D119" s="57">
        <f>3279856/11716.1</f>
        <v>279.9443500823653</v>
      </c>
      <c r="E119" s="57">
        <f aca="true" t="shared" si="11" ref="E119:E124">1785759/11716.1</f>
        <v>152.41923506969042</v>
      </c>
      <c r="F119" s="57">
        <f t="shared" si="9"/>
        <v>127.52511501267489</v>
      </c>
      <c r="G119" s="60">
        <f t="shared" si="10"/>
        <v>0.45553737725070864</v>
      </c>
    </row>
    <row r="120" spans="1:7" ht="13.5">
      <c r="A120" s="54"/>
      <c r="B120" s="59" t="s">
        <v>11</v>
      </c>
      <c r="C120" s="56">
        <v>1999</v>
      </c>
      <c r="D120" s="57">
        <f>3307825/11189.03</f>
        <v>295.63107793973205</v>
      </c>
      <c r="E120" s="57">
        <f t="shared" si="11"/>
        <v>152.41923506969042</v>
      </c>
      <c r="F120" s="57">
        <f t="shared" si="9"/>
        <v>143.21184287004164</v>
      </c>
      <c r="G120" s="60">
        <f t="shared" si="10"/>
        <v>0.48442756380043744</v>
      </c>
    </row>
    <row r="121" spans="1:7" ht="13.5">
      <c r="A121" s="54"/>
      <c r="B121" s="59" t="s">
        <v>14</v>
      </c>
      <c r="C121" s="56">
        <v>1999</v>
      </c>
      <c r="D121" s="57">
        <f>3360077/12076.94</f>
        <v>278.22254643974384</v>
      </c>
      <c r="E121" s="57">
        <f t="shared" si="11"/>
        <v>152.41923506969042</v>
      </c>
      <c r="F121" s="57">
        <f t="shared" si="9"/>
        <v>125.80331137005342</v>
      </c>
      <c r="G121" s="60">
        <f t="shared" si="10"/>
        <v>0.4521679244902581</v>
      </c>
    </row>
    <row r="122" spans="1:7" ht="13.5">
      <c r="A122" s="54"/>
      <c r="B122" s="59" t="s">
        <v>16</v>
      </c>
      <c r="C122" s="56">
        <v>1999</v>
      </c>
      <c r="D122" s="57">
        <f>3479926/15530.75</f>
        <v>224.06683514962253</v>
      </c>
      <c r="E122" s="57">
        <f t="shared" si="11"/>
        <v>152.41923506969042</v>
      </c>
      <c r="F122" s="57">
        <f t="shared" si="9"/>
        <v>71.64760007993212</v>
      </c>
      <c r="G122" s="60">
        <f t="shared" si="10"/>
        <v>0.31975995033842836</v>
      </c>
    </row>
    <row r="123" spans="1:7" ht="13.5">
      <c r="A123" s="54"/>
      <c r="B123" s="59" t="s">
        <v>6</v>
      </c>
      <c r="C123" s="56">
        <v>1999</v>
      </c>
      <c r="D123" s="57">
        <f>3722291/17411.22</f>
        <v>213.7869144149577</v>
      </c>
      <c r="E123" s="57">
        <f t="shared" si="11"/>
        <v>152.41923506969042</v>
      </c>
      <c r="F123" s="57">
        <f t="shared" si="9"/>
        <v>61.36767934526728</v>
      </c>
      <c r="G123" s="60">
        <f t="shared" si="10"/>
        <v>0.2870506808763486</v>
      </c>
    </row>
    <row r="124" spans="1:7" ht="13.5">
      <c r="A124" s="54"/>
      <c r="B124" s="59" t="s">
        <v>17</v>
      </c>
      <c r="C124" s="56">
        <v>1999</v>
      </c>
      <c r="D124" s="57">
        <f>3990099/18140.56</f>
        <v>219.9545659009424</v>
      </c>
      <c r="E124" s="57">
        <f t="shared" si="11"/>
        <v>152.41923506969042</v>
      </c>
      <c r="F124" s="57">
        <f t="shared" si="9"/>
        <v>67.535330831252</v>
      </c>
      <c r="G124" s="60">
        <f t="shared" si="10"/>
        <v>0.3070421864380249</v>
      </c>
    </row>
    <row r="125" spans="1:7" ht="13.5">
      <c r="A125" s="9" t="s">
        <v>27</v>
      </c>
      <c r="B125" s="14" t="s">
        <v>9</v>
      </c>
      <c r="C125" s="11">
        <v>2000</v>
      </c>
      <c r="D125" s="12">
        <f>4468727/24999.87</f>
        <v>178.7500095000494</v>
      </c>
      <c r="E125" s="12">
        <f>1973593/24578.1</f>
        <v>80.29884327917944</v>
      </c>
      <c r="F125" s="12">
        <f t="shared" si="9"/>
        <v>98.45116622086996</v>
      </c>
      <c r="G125" s="15">
        <f t="shared" si="10"/>
        <v>0.5507757258096412</v>
      </c>
    </row>
    <row r="126" spans="1:7" ht="13.5">
      <c r="A126" s="9"/>
      <c r="B126" s="14" t="s">
        <v>22</v>
      </c>
      <c r="C126" s="11">
        <v>2000</v>
      </c>
      <c r="D126" s="12">
        <f>4915933/25000</f>
        <v>196.63732</v>
      </c>
      <c r="E126" s="12">
        <f>1973593/24578.1</f>
        <v>80.29884327917944</v>
      </c>
      <c r="F126" s="12">
        <f t="shared" si="9"/>
        <v>116.33847672082055</v>
      </c>
      <c r="G126" s="15">
        <f t="shared" si="10"/>
        <v>0.5916398612471964</v>
      </c>
    </row>
    <row r="127" spans="1:7" ht="13.5">
      <c r="A127" s="9"/>
      <c r="B127" s="14" t="s">
        <v>10</v>
      </c>
      <c r="C127" s="11">
        <v>2000</v>
      </c>
      <c r="D127" s="12">
        <f>5420781/25000</f>
        <v>216.83124</v>
      </c>
      <c r="E127" s="12">
        <f>1973593/24578.1</f>
        <v>80.29884327917944</v>
      </c>
      <c r="F127" s="12">
        <f t="shared" si="9"/>
        <v>136.53239672082057</v>
      </c>
      <c r="G127" s="15">
        <f t="shared" si="10"/>
        <v>0.6296712444240994</v>
      </c>
    </row>
    <row r="128" spans="1:7" ht="13.5">
      <c r="A128" s="9"/>
      <c r="B128" s="14" t="s">
        <v>21</v>
      </c>
      <c r="C128" s="11">
        <v>2000</v>
      </c>
      <c r="D128" s="12">
        <f>6130488/25000</f>
        <v>245.21952</v>
      </c>
      <c r="E128" s="12">
        <f>2842993/25000</f>
        <v>113.71972</v>
      </c>
      <c r="F128" s="12">
        <f t="shared" si="9"/>
        <v>131.4998</v>
      </c>
      <c r="G128" s="15">
        <v>0.536</v>
      </c>
    </row>
    <row r="129" spans="1:7" ht="13.5">
      <c r="A129" s="9"/>
      <c r="B129" s="14" t="s">
        <v>28</v>
      </c>
      <c r="C129" s="11">
        <v>2000</v>
      </c>
      <c r="D129" s="12">
        <f>6518454/25000</f>
        <v>260.73816</v>
      </c>
      <c r="E129" s="12">
        <f>2907393/25000</f>
        <v>116.29572</v>
      </c>
      <c r="F129" s="12">
        <f t="shared" si="9"/>
        <v>144.44243999999998</v>
      </c>
      <c r="G129" s="15">
        <v>0.554</v>
      </c>
    </row>
    <row r="130" spans="1:9" ht="13.5">
      <c r="A130" s="16"/>
      <c r="B130" s="14" t="s">
        <v>29</v>
      </c>
      <c r="C130" s="11">
        <v>2000</v>
      </c>
      <c r="D130" s="17">
        <v>274.76</v>
      </c>
      <c r="E130" s="17">
        <v>164.6</v>
      </c>
      <c r="F130" s="12">
        <v>110.2</v>
      </c>
      <c r="G130" s="15">
        <v>0.401</v>
      </c>
      <c r="I130" s="18"/>
    </row>
    <row r="131" spans="1:9" ht="13.5">
      <c r="A131" s="16"/>
      <c r="B131" s="14" t="s">
        <v>30</v>
      </c>
      <c r="C131" s="11">
        <v>2000</v>
      </c>
      <c r="D131" s="17">
        <v>226.39</v>
      </c>
      <c r="E131" s="17">
        <v>163.57</v>
      </c>
      <c r="F131" s="17">
        <v>62.82</v>
      </c>
      <c r="G131" s="15">
        <v>0.277</v>
      </c>
      <c r="I131" s="18"/>
    </row>
    <row r="132" spans="1:9" ht="13.5">
      <c r="A132" s="16"/>
      <c r="B132" s="14" t="s">
        <v>31</v>
      </c>
      <c r="C132" s="11">
        <v>2000</v>
      </c>
      <c r="D132" s="17">
        <v>229.46</v>
      </c>
      <c r="E132" s="17">
        <v>163.57</v>
      </c>
      <c r="F132" s="17">
        <v>65.9</v>
      </c>
      <c r="G132" s="15">
        <v>0.287</v>
      </c>
      <c r="I132" s="18"/>
    </row>
    <row r="133" spans="1:9" ht="13.5">
      <c r="A133" s="16"/>
      <c r="B133" s="14" t="s">
        <v>32</v>
      </c>
      <c r="C133" s="11">
        <v>2000</v>
      </c>
      <c r="D133" s="17">
        <v>234.63</v>
      </c>
      <c r="E133" s="17">
        <v>163.57337600000002</v>
      </c>
      <c r="F133" s="17">
        <v>74.68323716067701</v>
      </c>
      <c r="G133" s="15">
        <v>0.313</v>
      </c>
      <c r="I133" s="18"/>
    </row>
    <row r="134" spans="1:9" ht="13.5">
      <c r="A134" s="16"/>
      <c r="B134" s="14" t="s">
        <v>33</v>
      </c>
      <c r="C134" s="11">
        <v>2000</v>
      </c>
      <c r="D134" s="17">
        <v>244.17</v>
      </c>
      <c r="E134" s="17">
        <v>163.57</v>
      </c>
      <c r="F134" s="17">
        <v>80.59</v>
      </c>
      <c r="G134" s="15">
        <v>0.33</v>
      </c>
      <c r="I134" s="18"/>
    </row>
    <row r="135" spans="1:9" ht="13.5">
      <c r="A135" s="16"/>
      <c r="B135" s="14" t="s">
        <v>34</v>
      </c>
      <c r="C135" s="11">
        <v>2000</v>
      </c>
      <c r="D135" s="17">
        <v>248.1</v>
      </c>
      <c r="E135" s="17">
        <v>163.57</v>
      </c>
      <c r="F135" s="17">
        <v>84.53</v>
      </c>
      <c r="G135" s="15">
        <v>0.341</v>
      </c>
      <c r="I135" s="18"/>
    </row>
    <row r="136" spans="1:9" ht="13.5">
      <c r="A136" s="16"/>
      <c r="B136" s="14" t="s">
        <v>35</v>
      </c>
      <c r="C136" s="11">
        <v>2000</v>
      </c>
      <c r="D136" s="14">
        <v>252.93</v>
      </c>
      <c r="E136" s="14">
        <v>163.57</v>
      </c>
      <c r="F136" s="14">
        <v>89.36</v>
      </c>
      <c r="G136" s="15">
        <v>0.353</v>
      </c>
      <c r="I136" s="18"/>
    </row>
    <row r="137" spans="1:9" ht="13.5">
      <c r="A137" s="16"/>
      <c r="B137" s="14" t="s">
        <v>18</v>
      </c>
      <c r="C137" s="11">
        <v>2001</v>
      </c>
      <c r="D137" s="14">
        <v>269.77</v>
      </c>
      <c r="E137" s="14">
        <v>200.73</v>
      </c>
      <c r="F137" s="14">
        <v>69.04</v>
      </c>
      <c r="G137" s="15">
        <v>0.256</v>
      </c>
      <c r="I137" s="18"/>
    </row>
    <row r="138" spans="1:9" ht="13.5">
      <c r="A138" s="16"/>
      <c r="B138" s="14" t="s">
        <v>19</v>
      </c>
      <c r="C138" s="11">
        <v>2001</v>
      </c>
      <c r="D138" s="14">
        <v>278.02</v>
      </c>
      <c r="E138" s="14">
        <v>200.73</v>
      </c>
      <c r="F138" s="14">
        <v>77.29</v>
      </c>
      <c r="G138" s="15">
        <v>0.278</v>
      </c>
      <c r="I138" s="18"/>
    </row>
    <row r="139" spans="1:9" ht="13.5">
      <c r="A139" s="16"/>
      <c r="B139" s="14" t="s">
        <v>20</v>
      </c>
      <c r="C139" s="11">
        <v>2001</v>
      </c>
      <c r="D139" s="17">
        <v>284.25</v>
      </c>
      <c r="E139" s="17">
        <v>200.73</v>
      </c>
      <c r="F139" s="17">
        <f aca="true" t="shared" si="12" ref="F139:F182">+D139-E139</f>
        <v>83.52000000000001</v>
      </c>
      <c r="G139" s="15">
        <f aca="true" t="shared" si="13" ref="G139:G182">+F139/D139</f>
        <v>0.29382585751978896</v>
      </c>
      <c r="I139" s="18"/>
    </row>
    <row r="140" spans="1:9" ht="13.5">
      <c r="A140" s="16"/>
      <c r="B140" s="14" t="s">
        <v>21</v>
      </c>
      <c r="C140" s="11">
        <v>2001</v>
      </c>
      <c r="D140" s="17">
        <v>288.45</v>
      </c>
      <c r="E140" s="17">
        <v>200.73</v>
      </c>
      <c r="F140" s="17">
        <f t="shared" si="12"/>
        <v>87.72</v>
      </c>
      <c r="G140" s="15">
        <f t="shared" si="13"/>
        <v>0.30410816432657306</v>
      </c>
      <c r="I140" s="18"/>
    </row>
    <row r="141" spans="1:9" ht="13.5">
      <c r="A141" s="16"/>
      <c r="B141" s="14" t="s">
        <v>15</v>
      </c>
      <c r="C141" s="11">
        <v>2001</v>
      </c>
      <c r="D141" s="17">
        <v>287.77</v>
      </c>
      <c r="E141" s="17">
        <v>200.73</v>
      </c>
      <c r="F141" s="17">
        <f t="shared" si="12"/>
        <v>87.03999999999999</v>
      </c>
      <c r="G141" s="15">
        <f t="shared" si="13"/>
        <v>0.3024637731521701</v>
      </c>
      <c r="I141" s="18"/>
    </row>
    <row r="142" spans="1:9" ht="13.5">
      <c r="A142" s="16"/>
      <c r="B142" s="14" t="s">
        <v>12</v>
      </c>
      <c r="C142" s="11">
        <v>2001</v>
      </c>
      <c r="D142" s="17">
        <v>288.79</v>
      </c>
      <c r="E142" s="17">
        <v>200.73</v>
      </c>
      <c r="F142" s="17">
        <f t="shared" si="12"/>
        <v>88.06000000000003</v>
      </c>
      <c r="G142" s="15">
        <f t="shared" si="13"/>
        <v>0.30492745593684</v>
      </c>
      <c r="I142" s="18"/>
    </row>
    <row r="143" spans="1:9" ht="13.5">
      <c r="A143" s="16"/>
      <c r="B143" s="14" t="s">
        <v>7</v>
      </c>
      <c r="C143" s="11">
        <v>2001</v>
      </c>
      <c r="D143" s="17">
        <v>290.66</v>
      </c>
      <c r="E143" s="17">
        <v>200.73</v>
      </c>
      <c r="F143" s="17">
        <f t="shared" si="12"/>
        <v>89.93000000000004</v>
      </c>
      <c r="G143" s="15">
        <f t="shared" si="13"/>
        <v>0.3093992981490402</v>
      </c>
      <c r="I143" s="18"/>
    </row>
    <row r="144" spans="1:9" ht="13.5">
      <c r="A144" s="16"/>
      <c r="B144" s="14" t="s">
        <v>11</v>
      </c>
      <c r="C144" s="11">
        <v>2001</v>
      </c>
      <c r="D144" s="17">
        <v>292.97</v>
      </c>
      <c r="E144" s="17">
        <v>200.73</v>
      </c>
      <c r="F144" s="17">
        <f t="shared" si="12"/>
        <v>92.24000000000004</v>
      </c>
      <c r="G144" s="15">
        <f t="shared" si="13"/>
        <v>0.3148445233300339</v>
      </c>
      <c r="I144" s="18"/>
    </row>
    <row r="145" spans="1:9" ht="13.5">
      <c r="A145" s="16"/>
      <c r="B145" s="14" t="s">
        <v>14</v>
      </c>
      <c r="C145" s="11">
        <v>2001</v>
      </c>
      <c r="D145" s="17">
        <v>299.42</v>
      </c>
      <c r="E145" s="17">
        <v>200.73</v>
      </c>
      <c r="F145" s="17">
        <f t="shared" si="12"/>
        <v>98.69000000000003</v>
      </c>
      <c r="G145" s="15">
        <f t="shared" si="13"/>
        <v>0.3296039008750251</v>
      </c>
      <c r="I145" s="18"/>
    </row>
    <row r="146" spans="1:9" ht="13.5">
      <c r="A146" s="16"/>
      <c r="B146" s="14" t="s">
        <v>16</v>
      </c>
      <c r="C146" s="11">
        <v>2001</v>
      </c>
      <c r="D146" s="17">
        <v>304.06</v>
      </c>
      <c r="E146" s="17">
        <v>200.73</v>
      </c>
      <c r="F146" s="17">
        <f t="shared" si="12"/>
        <v>103.33000000000001</v>
      </c>
      <c r="G146" s="15">
        <f t="shared" si="13"/>
        <v>0.33983424324146555</v>
      </c>
      <c r="I146" s="18"/>
    </row>
    <row r="147" spans="1:9" ht="13.5">
      <c r="A147" s="16"/>
      <c r="B147" s="14" t="s">
        <v>6</v>
      </c>
      <c r="C147" s="11">
        <v>2001</v>
      </c>
      <c r="D147" s="17">
        <v>310.21</v>
      </c>
      <c r="E147" s="17">
        <v>200.73</v>
      </c>
      <c r="F147" s="17">
        <f t="shared" si="12"/>
        <v>109.47999999999999</v>
      </c>
      <c r="G147" s="15">
        <f t="shared" si="13"/>
        <v>0.3529222139840753</v>
      </c>
      <c r="I147" s="18"/>
    </row>
    <row r="148" spans="1:9" ht="13.5">
      <c r="A148" s="16"/>
      <c r="B148" s="14" t="s">
        <v>17</v>
      </c>
      <c r="C148" s="11">
        <v>2001</v>
      </c>
      <c r="D148" s="17">
        <v>313.56</v>
      </c>
      <c r="E148" s="17">
        <v>200.73</v>
      </c>
      <c r="F148" s="17">
        <f t="shared" si="12"/>
        <v>112.83000000000001</v>
      </c>
      <c r="G148" s="15">
        <f t="shared" si="13"/>
        <v>0.35983543819364716</v>
      </c>
      <c r="I148" s="18"/>
    </row>
    <row r="149" spans="1:9" ht="13.5">
      <c r="A149" s="16"/>
      <c r="B149" s="14" t="s">
        <v>9</v>
      </c>
      <c r="C149" s="11">
        <v>2002</v>
      </c>
      <c r="D149" s="17">
        <v>319.15</v>
      </c>
      <c r="E149" s="17">
        <v>221.26</v>
      </c>
      <c r="F149" s="17">
        <f t="shared" si="12"/>
        <v>97.88999999999999</v>
      </c>
      <c r="G149" s="15">
        <f t="shared" si="13"/>
        <v>0.30672097759674133</v>
      </c>
      <c r="I149" s="18"/>
    </row>
    <row r="150" spans="1:9" ht="13.5">
      <c r="A150" s="16"/>
      <c r="B150" s="14" t="s">
        <v>22</v>
      </c>
      <c r="C150" s="11">
        <v>2002</v>
      </c>
      <c r="D150" s="17">
        <v>323.18</v>
      </c>
      <c r="E150" s="17">
        <v>221.26</v>
      </c>
      <c r="F150" s="17">
        <f t="shared" si="12"/>
        <v>101.92000000000002</v>
      </c>
      <c r="G150" s="15">
        <f t="shared" si="13"/>
        <v>0.31536604987932426</v>
      </c>
      <c r="I150" s="18"/>
    </row>
    <row r="151" spans="1:9" ht="13.5">
      <c r="A151" s="16"/>
      <c r="B151" s="14" t="s">
        <v>10</v>
      </c>
      <c r="C151" s="11">
        <v>2002</v>
      </c>
      <c r="D151" s="17">
        <v>327.34</v>
      </c>
      <c r="E151" s="17">
        <v>221.26</v>
      </c>
      <c r="F151" s="17">
        <f t="shared" si="12"/>
        <v>106.07999999999998</v>
      </c>
      <c r="G151" s="15">
        <f t="shared" si="13"/>
        <v>0.324066719618745</v>
      </c>
      <c r="I151" s="18"/>
    </row>
    <row r="152" spans="1:9" ht="13.5">
      <c r="A152" s="16"/>
      <c r="B152" s="14" t="s">
        <v>21</v>
      </c>
      <c r="C152" s="11">
        <v>2002</v>
      </c>
      <c r="D152" s="17">
        <v>330.31</v>
      </c>
      <c r="E152" s="17">
        <v>221.26</v>
      </c>
      <c r="F152" s="17">
        <f t="shared" si="12"/>
        <v>109.05000000000001</v>
      </c>
      <c r="G152" s="15">
        <f t="shared" si="13"/>
        <v>0.33014440979685755</v>
      </c>
      <c r="I152" s="18"/>
    </row>
    <row r="153" spans="1:9" ht="13.5">
      <c r="A153" s="16"/>
      <c r="B153" s="14" t="s">
        <v>15</v>
      </c>
      <c r="C153" s="11">
        <v>2002</v>
      </c>
      <c r="D153" s="17">
        <v>333.32</v>
      </c>
      <c r="E153" s="17">
        <v>221.26</v>
      </c>
      <c r="F153" s="17">
        <f t="shared" si="12"/>
        <v>112.06</v>
      </c>
      <c r="G153" s="15">
        <f t="shared" si="13"/>
        <v>0.33619344773790955</v>
      </c>
      <c r="I153" s="18"/>
    </row>
    <row r="154" spans="1:9" ht="13.5">
      <c r="A154" s="16"/>
      <c r="B154" s="14" t="s">
        <v>12</v>
      </c>
      <c r="C154" s="11">
        <v>2002</v>
      </c>
      <c r="D154" s="17">
        <v>334.05</v>
      </c>
      <c r="E154" s="17">
        <v>221.26</v>
      </c>
      <c r="F154" s="17">
        <f t="shared" si="12"/>
        <v>112.79000000000002</v>
      </c>
      <c r="G154" s="15">
        <f t="shared" si="13"/>
        <v>0.3376440652596917</v>
      </c>
      <c r="I154" s="18"/>
    </row>
    <row r="155" spans="1:9" ht="13.5">
      <c r="A155" s="16"/>
      <c r="B155" s="14" t="s">
        <v>7</v>
      </c>
      <c r="C155" s="11">
        <v>2002</v>
      </c>
      <c r="D155" s="17">
        <v>336.29</v>
      </c>
      <c r="E155" s="17">
        <v>221.26</v>
      </c>
      <c r="F155" s="17">
        <f t="shared" si="12"/>
        <v>115.03000000000003</v>
      </c>
      <c r="G155" s="15">
        <f t="shared" si="13"/>
        <v>0.34205596360284285</v>
      </c>
      <c r="I155" s="18"/>
    </row>
    <row r="156" spans="1:9" ht="13.5">
      <c r="A156" s="16"/>
      <c r="B156" s="14" t="s">
        <v>11</v>
      </c>
      <c r="C156" s="11">
        <v>2002</v>
      </c>
      <c r="D156" s="17">
        <v>339.91</v>
      </c>
      <c r="E156" s="17">
        <v>221.26</v>
      </c>
      <c r="F156" s="17">
        <f t="shared" si="12"/>
        <v>118.65000000000003</v>
      </c>
      <c r="G156" s="15">
        <f t="shared" si="13"/>
        <v>0.34906298726133395</v>
      </c>
      <c r="I156" s="18"/>
    </row>
    <row r="157" spans="1:9" ht="13.5">
      <c r="A157" s="16"/>
      <c r="B157" s="14" t="s">
        <v>14</v>
      </c>
      <c r="C157" s="11">
        <v>2002</v>
      </c>
      <c r="D157" s="17">
        <v>341.22</v>
      </c>
      <c r="E157" s="17">
        <v>221.26</v>
      </c>
      <c r="F157" s="17">
        <f t="shared" si="12"/>
        <v>119.96000000000004</v>
      </c>
      <c r="G157" s="15">
        <f t="shared" si="13"/>
        <v>0.3515620420842859</v>
      </c>
      <c r="I157" s="18"/>
    </row>
    <row r="158" spans="1:9" ht="13.5">
      <c r="A158" s="16"/>
      <c r="B158" s="14" t="s">
        <v>16</v>
      </c>
      <c r="C158" s="11">
        <v>2002</v>
      </c>
      <c r="D158" s="17">
        <v>346.14</v>
      </c>
      <c r="E158" s="17">
        <v>221.26</v>
      </c>
      <c r="F158" s="17">
        <f t="shared" si="12"/>
        <v>124.88</v>
      </c>
      <c r="G158" s="15">
        <f t="shared" si="13"/>
        <v>0.3607788755994684</v>
      </c>
      <c r="I158" s="18"/>
    </row>
    <row r="159" spans="1:9" ht="13.5">
      <c r="A159" s="16"/>
      <c r="B159" s="14" t="s">
        <v>6</v>
      </c>
      <c r="C159" s="11">
        <v>2002</v>
      </c>
      <c r="D159" s="17">
        <v>351.47</v>
      </c>
      <c r="E159" s="17">
        <v>221.26</v>
      </c>
      <c r="F159" s="17">
        <f t="shared" si="12"/>
        <v>130.21000000000004</v>
      </c>
      <c r="G159" s="15">
        <f t="shared" si="13"/>
        <v>0.3704725865649985</v>
      </c>
      <c r="I159" s="18"/>
    </row>
    <row r="160" spans="1:9" ht="13.5">
      <c r="A160" s="16"/>
      <c r="B160" s="14" t="s">
        <v>17</v>
      </c>
      <c r="C160" s="11">
        <v>2002</v>
      </c>
      <c r="D160" s="17">
        <v>353.24</v>
      </c>
      <c r="E160" s="17">
        <v>221.26</v>
      </c>
      <c r="F160" s="17">
        <f t="shared" si="12"/>
        <v>131.98000000000002</v>
      </c>
      <c r="G160" s="15">
        <f t="shared" si="13"/>
        <v>0.3736269958102141</v>
      </c>
      <c r="I160" s="18"/>
    </row>
    <row r="161" spans="1:9" ht="13.5">
      <c r="A161" s="54" t="s">
        <v>36</v>
      </c>
      <c r="B161" s="55" t="s">
        <v>9</v>
      </c>
      <c r="C161" s="56">
        <v>2003</v>
      </c>
      <c r="D161" s="61">
        <v>361.75</v>
      </c>
      <c r="E161" s="61">
        <v>253.17</v>
      </c>
      <c r="F161" s="57">
        <f t="shared" si="12"/>
        <v>108.58000000000001</v>
      </c>
      <c r="G161" s="60">
        <f t="shared" si="13"/>
        <v>0.30015203870076024</v>
      </c>
      <c r="I161" s="18"/>
    </row>
    <row r="162" spans="1:9" ht="13.5">
      <c r="A162" s="54"/>
      <c r="B162" s="55" t="s">
        <v>22</v>
      </c>
      <c r="C162" s="56">
        <v>2003</v>
      </c>
      <c r="D162" s="61">
        <v>362</v>
      </c>
      <c r="E162" s="61">
        <v>253.17</v>
      </c>
      <c r="F162" s="57">
        <f t="shared" si="12"/>
        <v>108.83000000000001</v>
      </c>
      <c r="G162" s="60">
        <f t="shared" si="13"/>
        <v>0.3006353591160221</v>
      </c>
      <c r="I162" s="18"/>
    </row>
    <row r="163" spans="1:9" ht="13.5">
      <c r="A163" s="54"/>
      <c r="B163" s="55" t="s">
        <v>10</v>
      </c>
      <c r="C163" s="56">
        <v>2003</v>
      </c>
      <c r="D163" s="61">
        <v>363.79</v>
      </c>
      <c r="E163" s="61">
        <v>253.17</v>
      </c>
      <c r="F163" s="57">
        <f t="shared" si="12"/>
        <v>110.62000000000003</v>
      </c>
      <c r="G163" s="60">
        <f t="shared" si="13"/>
        <v>0.3040765276670607</v>
      </c>
      <c r="I163" s="18"/>
    </row>
    <row r="164" spans="1:9" ht="13.5">
      <c r="A164" s="54"/>
      <c r="B164" s="55" t="s">
        <v>21</v>
      </c>
      <c r="C164" s="56">
        <v>2003</v>
      </c>
      <c r="D164" s="61">
        <v>366.59</v>
      </c>
      <c r="E164" s="61">
        <v>253.17</v>
      </c>
      <c r="F164" s="57">
        <f t="shared" si="12"/>
        <v>113.41999999999999</v>
      </c>
      <c r="G164" s="60">
        <f t="shared" si="13"/>
        <v>0.3093919637742437</v>
      </c>
      <c r="I164" s="18"/>
    </row>
    <row r="165" spans="1:9" ht="13.5">
      <c r="A165" s="54"/>
      <c r="B165" s="55" t="s">
        <v>15</v>
      </c>
      <c r="C165" s="56">
        <v>2003</v>
      </c>
      <c r="D165" s="61">
        <v>368.72</v>
      </c>
      <c r="E165" s="61">
        <v>253.17</v>
      </c>
      <c r="F165" s="57">
        <f t="shared" si="12"/>
        <v>115.55000000000004</v>
      </c>
      <c r="G165" s="60">
        <f t="shared" si="13"/>
        <v>0.3133814276415709</v>
      </c>
      <c r="I165" s="18"/>
    </row>
    <row r="166" spans="1:9" ht="13.5">
      <c r="A166" s="54"/>
      <c r="B166" s="55" t="s">
        <v>12</v>
      </c>
      <c r="C166" s="56">
        <v>2003</v>
      </c>
      <c r="D166" s="61">
        <v>369.95</v>
      </c>
      <c r="E166" s="61">
        <v>253.17</v>
      </c>
      <c r="F166" s="57">
        <f t="shared" si="12"/>
        <v>116.78</v>
      </c>
      <c r="G166" s="60">
        <f t="shared" si="13"/>
        <v>0.31566427895661575</v>
      </c>
      <c r="I166" s="18"/>
    </row>
    <row r="167" spans="1:9" ht="13.5">
      <c r="A167" s="54"/>
      <c r="B167" s="55" t="s">
        <v>7</v>
      </c>
      <c r="C167" s="56">
        <v>2003</v>
      </c>
      <c r="D167" s="61">
        <v>371.11</v>
      </c>
      <c r="E167" s="61">
        <v>253.17</v>
      </c>
      <c r="F167" s="57">
        <f t="shared" si="12"/>
        <v>117.94000000000003</v>
      </c>
      <c r="G167" s="60">
        <f t="shared" si="13"/>
        <v>0.317803346716607</v>
      </c>
      <c r="I167" s="18"/>
    </row>
    <row r="168" spans="1:9" ht="13.5">
      <c r="A168" s="54"/>
      <c r="B168" s="55" t="s">
        <v>11</v>
      </c>
      <c r="C168" s="56">
        <v>2003</v>
      </c>
      <c r="D168" s="61">
        <v>373.8</v>
      </c>
      <c r="E168" s="61">
        <v>253.17</v>
      </c>
      <c r="F168" s="57">
        <f t="shared" si="12"/>
        <v>120.63000000000002</v>
      </c>
      <c r="G168" s="60">
        <f t="shared" si="13"/>
        <v>0.3227126805778492</v>
      </c>
      <c r="I168" s="18"/>
    </row>
    <row r="169" spans="1:9" ht="13.5">
      <c r="A169" s="54"/>
      <c r="B169" s="55" t="s">
        <v>14</v>
      </c>
      <c r="C169" s="56">
        <v>2003</v>
      </c>
      <c r="D169" s="61">
        <v>376.47</v>
      </c>
      <c r="E169" s="61">
        <v>253.17</v>
      </c>
      <c r="F169" s="57">
        <f t="shared" si="12"/>
        <v>123.30000000000004</v>
      </c>
      <c r="G169" s="60">
        <f t="shared" si="13"/>
        <v>0.32751613674396374</v>
      </c>
      <c r="I169" s="18"/>
    </row>
    <row r="170" spans="1:9" ht="13.5">
      <c r="A170" s="54"/>
      <c r="B170" s="55" t="s">
        <v>16</v>
      </c>
      <c r="C170" s="56">
        <v>2003</v>
      </c>
      <c r="D170" s="61">
        <v>378.02</v>
      </c>
      <c r="E170" s="61">
        <v>253.17</v>
      </c>
      <c r="F170" s="57">
        <f t="shared" si="12"/>
        <v>124.85</v>
      </c>
      <c r="G170" s="60">
        <f t="shared" si="13"/>
        <v>0.3302735305010317</v>
      </c>
      <c r="I170" s="18"/>
    </row>
    <row r="171" spans="1:9" ht="13.5">
      <c r="A171" s="54"/>
      <c r="B171" s="55" t="s">
        <v>6</v>
      </c>
      <c r="C171" s="56">
        <v>2003</v>
      </c>
      <c r="D171" s="61">
        <v>378.29</v>
      </c>
      <c r="E171" s="61">
        <v>253.17</v>
      </c>
      <c r="F171" s="57">
        <f t="shared" si="12"/>
        <v>125.12000000000003</v>
      </c>
      <c r="G171" s="60">
        <f t="shared" si="13"/>
        <v>0.3307515398239447</v>
      </c>
      <c r="I171" s="18"/>
    </row>
    <row r="172" spans="1:9" ht="13.5">
      <c r="A172" s="54"/>
      <c r="B172" s="55" t="s">
        <v>17</v>
      </c>
      <c r="C172" s="56">
        <v>2003</v>
      </c>
      <c r="D172" s="61">
        <v>378.34</v>
      </c>
      <c r="E172" s="61">
        <v>253.17</v>
      </c>
      <c r="F172" s="57">
        <f t="shared" si="12"/>
        <v>125.16999999999999</v>
      </c>
      <c r="G172" s="60">
        <f t="shared" si="13"/>
        <v>0.3308399851984987</v>
      </c>
      <c r="I172" s="18"/>
    </row>
    <row r="173" spans="1:9" ht="13.5">
      <c r="A173" s="54"/>
      <c r="B173" s="55" t="s">
        <v>37</v>
      </c>
      <c r="C173" s="56">
        <v>2004</v>
      </c>
      <c r="D173" s="61">
        <v>381.39</v>
      </c>
      <c r="E173" s="61">
        <v>265.95</v>
      </c>
      <c r="F173" s="57">
        <f t="shared" si="12"/>
        <v>115.44</v>
      </c>
      <c r="G173" s="60">
        <f t="shared" si="13"/>
        <v>0.3026822937150948</v>
      </c>
      <c r="I173" s="18"/>
    </row>
    <row r="174" spans="1:9" ht="13.5">
      <c r="A174" s="54"/>
      <c r="B174" s="55" t="s">
        <v>22</v>
      </c>
      <c r="C174" s="56">
        <v>2004</v>
      </c>
      <c r="D174" s="61">
        <v>384.03</v>
      </c>
      <c r="E174" s="61">
        <v>265.95</v>
      </c>
      <c r="F174" s="57">
        <f t="shared" si="12"/>
        <v>118.07999999999998</v>
      </c>
      <c r="G174" s="60">
        <f t="shared" si="13"/>
        <v>0.3074759784391844</v>
      </c>
      <c r="I174" s="18"/>
    </row>
    <row r="175" spans="1:9" ht="13.5">
      <c r="A175" s="54"/>
      <c r="B175" s="55" t="s">
        <v>10</v>
      </c>
      <c r="C175" s="56">
        <v>2004</v>
      </c>
      <c r="D175" s="61">
        <v>385.58</v>
      </c>
      <c r="E175" s="61">
        <v>265.95</v>
      </c>
      <c r="F175" s="57">
        <f t="shared" si="12"/>
        <v>119.63</v>
      </c>
      <c r="G175" s="60">
        <f t="shared" si="13"/>
        <v>0.31025986825042795</v>
      </c>
      <c r="I175" s="18"/>
    </row>
    <row r="176" spans="1:9" ht="13.5">
      <c r="A176" s="54"/>
      <c r="B176" s="55" t="s">
        <v>21</v>
      </c>
      <c r="C176" s="56">
        <v>2004</v>
      </c>
      <c r="D176" s="61">
        <v>387.59</v>
      </c>
      <c r="E176" s="61">
        <v>265.95</v>
      </c>
      <c r="F176" s="57">
        <f t="shared" si="12"/>
        <v>121.63999999999999</v>
      </c>
      <c r="G176" s="60">
        <f t="shared" si="13"/>
        <v>0.31383678629479606</v>
      </c>
      <c r="I176" s="18"/>
    </row>
    <row r="177" spans="1:9" ht="13.5">
      <c r="A177" s="54"/>
      <c r="B177" s="55" t="s">
        <v>15</v>
      </c>
      <c r="C177" s="56">
        <v>2004</v>
      </c>
      <c r="D177" s="61">
        <v>388.38</v>
      </c>
      <c r="E177" s="61">
        <v>265.95</v>
      </c>
      <c r="F177" s="57">
        <f t="shared" si="12"/>
        <v>122.43</v>
      </c>
      <c r="G177" s="60">
        <f t="shared" si="13"/>
        <v>0.31523250424841653</v>
      </c>
      <c r="I177" s="18"/>
    </row>
    <row r="178" spans="1:9" ht="13.5">
      <c r="A178" s="54"/>
      <c r="B178" s="55" t="s">
        <v>12</v>
      </c>
      <c r="C178" s="56">
        <v>2004</v>
      </c>
      <c r="D178" s="61">
        <v>387.76</v>
      </c>
      <c r="E178" s="61">
        <v>265.95</v>
      </c>
      <c r="F178" s="57">
        <f t="shared" si="12"/>
        <v>121.81</v>
      </c>
      <c r="G178" s="60">
        <f t="shared" si="13"/>
        <v>0.3141376108933361</v>
      </c>
      <c r="I178" s="18"/>
    </row>
    <row r="179" spans="1:9" ht="13.5">
      <c r="A179" s="54"/>
      <c r="B179" s="55" t="s">
        <v>7</v>
      </c>
      <c r="C179" s="56">
        <v>2004</v>
      </c>
      <c r="D179" s="61">
        <v>386.75</v>
      </c>
      <c r="E179" s="61">
        <v>265.95</v>
      </c>
      <c r="F179" s="57">
        <f t="shared" si="12"/>
        <v>120.80000000000001</v>
      </c>
      <c r="G179" s="60">
        <f t="shared" si="13"/>
        <v>0.31234647705235946</v>
      </c>
      <c r="I179" s="18"/>
    </row>
    <row r="180" spans="1:9" ht="13.5">
      <c r="A180" s="54"/>
      <c r="B180" s="55" t="s">
        <v>11</v>
      </c>
      <c r="C180" s="56">
        <v>2004</v>
      </c>
      <c r="D180" s="61">
        <v>388.57</v>
      </c>
      <c r="E180" s="61">
        <v>265.95</v>
      </c>
      <c r="F180" s="57">
        <f t="shared" si="12"/>
        <v>122.62</v>
      </c>
      <c r="G180" s="60">
        <f t="shared" si="13"/>
        <v>0.31556733664462006</v>
      </c>
      <c r="I180" s="18"/>
    </row>
    <row r="181" spans="1:9" ht="13.5">
      <c r="A181" s="54"/>
      <c r="B181" s="55" t="s">
        <v>14</v>
      </c>
      <c r="C181" s="56">
        <v>2004</v>
      </c>
      <c r="D181" s="61">
        <v>388.98</v>
      </c>
      <c r="E181" s="61">
        <v>265.95</v>
      </c>
      <c r="F181" s="57">
        <f t="shared" si="12"/>
        <v>123.03000000000003</v>
      </c>
      <c r="G181" s="60">
        <f t="shared" si="13"/>
        <v>0.31628875520592326</v>
      </c>
      <c r="I181" s="18"/>
    </row>
    <row r="182" spans="1:9" ht="13.5">
      <c r="A182" s="54"/>
      <c r="B182" s="55" t="s">
        <v>16</v>
      </c>
      <c r="C182" s="56">
        <v>2004</v>
      </c>
      <c r="D182" s="61">
        <v>390.21</v>
      </c>
      <c r="E182" s="61">
        <v>265.95</v>
      </c>
      <c r="F182" s="57">
        <f t="shared" si="12"/>
        <v>124.25999999999999</v>
      </c>
      <c r="G182" s="60">
        <f t="shared" si="13"/>
        <v>0.31844391481509954</v>
      </c>
      <c r="I182" s="18"/>
    </row>
    <row r="183" spans="1:9" ht="13.5">
      <c r="A183" s="54"/>
      <c r="B183" s="55" t="s">
        <v>6</v>
      </c>
      <c r="C183" s="56">
        <v>2004</v>
      </c>
      <c r="D183" s="61">
        <v>392.26</v>
      </c>
      <c r="E183" s="61">
        <v>265.95</v>
      </c>
      <c r="F183" s="57">
        <f>+D183-E183</f>
        <v>126.31</v>
      </c>
      <c r="G183" s="60">
        <f>+F183/D183</f>
        <v>0.32200581247132004</v>
      </c>
      <c r="I183" s="18"/>
    </row>
    <row r="184" spans="1:9" ht="13.5">
      <c r="A184" s="54"/>
      <c r="B184" s="55" t="s">
        <v>17</v>
      </c>
      <c r="C184" s="56">
        <v>2004</v>
      </c>
      <c r="D184" s="61">
        <v>394.45</v>
      </c>
      <c r="E184" s="61">
        <v>265.95</v>
      </c>
      <c r="F184" s="57">
        <f>+D184-E184</f>
        <v>128.5</v>
      </c>
      <c r="G184" s="60">
        <f>+F184/D184</f>
        <v>0.3257700595766257</v>
      </c>
      <c r="I184" s="18"/>
    </row>
    <row r="185" spans="1:9" ht="13.5">
      <c r="A185" s="54"/>
      <c r="B185" s="55" t="s">
        <v>9</v>
      </c>
      <c r="C185" s="56">
        <v>2005</v>
      </c>
      <c r="D185" s="61">
        <v>417.57</v>
      </c>
      <c r="E185" s="61">
        <v>265.95</v>
      </c>
      <c r="F185" s="57">
        <f>+D185-E185</f>
        <v>151.62</v>
      </c>
      <c r="G185" s="60">
        <f>+F185/D185</f>
        <v>0.3631007974710827</v>
      </c>
      <c r="I185" s="18"/>
    </row>
    <row r="186" spans="1:9" ht="13.5">
      <c r="A186" s="54"/>
      <c r="B186" s="55" t="s">
        <v>22</v>
      </c>
      <c r="C186" s="56">
        <v>2005</v>
      </c>
      <c r="D186" s="61">
        <v>419.51</v>
      </c>
      <c r="E186" s="61">
        <v>268.09</v>
      </c>
      <c r="F186" s="57">
        <f>+D186-E186</f>
        <v>151.42000000000002</v>
      </c>
      <c r="G186" s="60">
        <f>+F186/D186</f>
        <v>0.36094491192105077</v>
      </c>
      <c r="I186" s="18"/>
    </row>
    <row r="187" spans="1:9" ht="13.5">
      <c r="A187" s="54"/>
      <c r="B187" s="55" t="s">
        <v>10</v>
      </c>
      <c r="C187" s="56">
        <v>2005</v>
      </c>
      <c r="D187" s="61">
        <v>421.4716681465371</v>
      </c>
      <c r="E187" s="61">
        <v>280</v>
      </c>
      <c r="F187" s="57">
        <f aca="true" t="shared" si="14" ref="F187:F235">+D187-E187</f>
        <v>141.47166814653713</v>
      </c>
      <c r="G187" s="60">
        <f aca="true" t="shared" si="15" ref="G187:G235">+F187/D187</f>
        <v>0.33566115788677475</v>
      </c>
      <c r="I187" s="18"/>
    </row>
    <row r="188" spans="1:9" ht="13.5">
      <c r="A188" s="54"/>
      <c r="B188" s="55" t="s">
        <v>21</v>
      </c>
      <c r="C188" s="56">
        <v>2005</v>
      </c>
      <c r="D188" s="61">
        <v>425.1247694818991</v>
      </c>
      <c r="E188" s="61">
        <v>280</v>
      </c>
      <c r="F188" s="57">
        <f t="shared" si="14"/>
        <v>145.12476948189908</v>
      </c>
      <c r="G188" s="60">
        <f t="shared" si="15"/>
        <v>0.3413698281066123</v>
      </c>
      <c r="I188" s="18"/>
    </row>
    <row r="189" spans="1:9" ht="13.5">
      <c r="A189" s="19" t="s">
        <v>38</v>
      </c>
      <c r="B189" s="5" t="s">
        <v>15</v>
      </c>
      <c r="C189" s="6">
        <v>2005</v>
      </c>
      <c r="D189" s="20">
        <v>425.3849073132118</v>
      </c>
      <c r="E189" s="20">
        <v>280</v>
      </c>
      <c r="F189" s="7">
        <f t="shared" si="14"/>
        <v>145.38490731321178</v>
      </c>
      <c r="G189" s="21">
        <f t="shared" si="15"/>
        <v>0.34177260362028916</v>
      </c>
      <c r="I189" s="18"/>
    </row>
    <row r="190" spans="1:9" ht="13.5">
      <c r="A190" s="19"/>
      <c r="B190" s="5" t="s">
        <v>12</v>
      </c>
      <c r="C190" s="6">
        <v>2005</v>
      </c>
      <c r="D190" s="20">
        <v>425.0951639271316</v>
      </c>
      <c r="E190" s="20">
        <v>280</v>
      </c>
      <c r="F190" s="7">
        <f t="shared" si="14"/>
        <v>145.09516392713158</v>
      </c>
      <c r="G190" s="21">
        <f t="shared" si="15"/>
        <v>0.34132395811494887</v>
      </c>
      <c r="I190" s="18"/>
    </row>
    <row r="191" spans="1:9" ht="13.5">
      <c r="A191" s="19"/>
      <c r="B191" s="5" t="s">
        <v>7</v>
      </c>
      <c r="C191" s="6">
        <v>2005</v>
      </c>
      <c r="D191" s="20">
        <v>425.84828724317424</v>
      </c>
      <c r="E191" s="20">
        <v>280</v>
      </c>
      <c r="F191" s="7">
        <f t="shared" si="14"/>
        <v>145.84828724317424</v>
      </c>
      <c r="G191" s="21">
        <f t="shared" si="15"/>
        <v>0.3424888431214701</v>
      </c>
      <c r="I191" s="18"/>
    </row>
    <row r="192" spans="1:9" ht="13.5">
      <c r="A192" s="19"/>
      <c r="B192" s="5" t="s">
        <v>11</v>
      </c>
      <c r="C192" s="6">
        <v>2005</v>
      </c>
      <c r="D192" s="20">
        <v>425.0951639271316</v>
      </c>
      <c r="E192" s="20">
        <v>280</v>
      </c>
      <c r="F192" s="7">
        <f t="shared" si="14"/>
        <v>145.09516392713158</v>
      </c>
      <c r="G192" s="21">
        <f t="shared" si="15"/>
        <v>0.34132395811494887</v>
      </c>
      <c r="I192" s="18"/>
    </row>
    <row r="193" spans="1:9" ht="13.5">
      <c r="A193" s="19"/>
      <c r="B193" s="5" t="s">
        <v>14</v>
      </c>
      <c r="C193" s="6">
        <v>2005</v>
      </c>
      <c r="D193" s="20">
        <v>426.74</v>
      </c>
      <c r="E193" s="20">
        <v>280</v>
      </c>
      <c r="F193" s="7">
        <f t="shared" si="14"/>
        <v>146.74</v>
      </c>
      <c r="G193" s="21">
        <f t="shared" si="15"/>
        <v>0.34386277358579</v>
      </c>
      <c r="I193" s="18"/>
    </row>
    <row r="194" spans="1:9" ht="13.5">
      <c r="A194" s="19"/>
      <c r="B194" s="5" t="s">
        <v>16</v>
      </c>
      <c r="C194" s="6">
        <v>2005</v>
      </c>
      <c r="D194" s="20">
        <v>432.11</v>
      </c>
      <c r="E194" s="20">
        <v>280</v>
      </c>
      <c r="F194" s="7">
        <f t="shared" si="14"/>
        <v>152.11</v>
      </c>
      <c r="G194" s="21">
        <f t="shared" si="15"/>
        <v>0.3520168475619634</v>
      </c>
      <c r="I194" s="18"/>
    </row>
    <row r="195" spans="1:9" ht="13.5">
      <c r="A195" s="19"/>
      <c r="B195" s="5" t="s">
        <v>6</v>
      </c>
      <c r="C195" s="6">
        <v>2005</v>
      </c>
      <c r="D195" s="20">
        <v>435.77</v>
      </c>
      <c r="E195" s="20">
        <v>280</v>
      </c>
      <c r="F195" s="7">
        <f t="shared" si="14"/>
        <v>155.76999999999998</v>
      </c>
      <c r="G195" s="21">
        <f t="shared" si="15"/>
        <v>0.3574592101337861</v>
      </c>
      <c r="I195" s="18"/>
    </row>
    <row r="196" spans="1:9" ht="13.5">
      <c r="A196" s="19"/>
      <c r="B196" s="5" t="s">
        <v>17</v>
      </c>
      <c r="C196" s="6">
        <v>2005</v>
      </c>
      <c r="D196" s="20">
        <v>437.41</v>
      </c>
      <c r="E196" s="20">
        <v>280</v>
      </c>
      <c r="F196" s="7">
        <f t="shared" si="14"/>
        <v>157.41000000000003</v>
      </c>
      <c r="G196" s="21">
        <f t="shared" si="15"/>
        <v>0.35986831576781514</v>
      </c>
      <c r="I196" s="18"/>
    </row>
    <row r="197" spans="1:9" ht="13.5">
      <c r="A197" s="19"/>
      <c r="B197" s="5" t="s">
        <v>9</v>
      </c>
      <c r="C197" s="6">
        <v>2006</v>
      </c>
      <c r="D197" s="20">
        <v>440.81</v>
      </c>
      <c r="E197" s="20">
        <v>298.67</v>
      </c>
      <c r="F197" s="7">
        <f t="shared" si="14"/>
        <v>142.14</v>
      </c>
      <c r="G197" s="21">
        <f t="shared" si="15"/>
        <v>0.3224518500034028</v>
      </c>
      <c r="I197" s="18"/>
    </row>
    <row r="198" spans="1:9" ht="13.5">
      <c r="A198" s="19"/>
      <c r="B198" s="5" t="s">
        <v>22</v>
      </c>
      <c r="C198" s="6">
        <v>2006</v>
      </c>
      <c r="D198" s="20">
        <v>442.17</v>
      </c>
      <c r="E198" s="20">
        <v>298.67</v>
      </c>
      <c r="F198" s="7">
        <f t="shared" si="14"/>
        <v>143.5</v>
      </c>
      <c r="G198" s="21">
        <f t="shared" si="15"/>
        <v>0.32453581201800213</v>
      </c>
      <c r="I198" s="18"/>
    </row>
    <row r="199" spans="1:9" ht="13.5">
      <c r="A199" s="19"/>
      <c r="B199" s="5" t="s">
        <v>10</v>
      </c>
      <c r="C199" s="6">
        <v>2006</v>
      </c>
      <c r="D199" s="20">
        <v>446.74</v>
      </c>
      <c r="E199" s="20">
        <v>298.67</v>
      </c>
      <c r="F199" s="7">
        <f t="shared" si="14"/>
        <v>148.07</v>
      </c>
      <c r="G199" s="22">
        <f t="shared" si="15"/>
        <v>0.33144558356090786</v>
      </c>
      <c r="I199" s="18"/>
    </row>
    <row r="200" spans="1:9" ht="13.5">
      <c r="A200" s="19"/>
      <c r="B200" s="5" t="s">
        <v>21</v>
      </c>
      <c r="C200" s="6">
        <v>2006</v>
      </c>
      <c r="D200" s="20">
        <v>446.57</v>
      </c>
      <c r="E200" s="20">
        <v>298.67</v>
      </c>
      <c r="F200" s="7">
        <f t="shared" si="14"/>
        <v>147.89999999999998</v>
      </c>
      <c r="G200" s="22">
        <f t="shared" si="15"/>
        <v>0.3311910786662785</v>
      </c>
      <c r="I200" s="18"/>
    </row>
    <row r="201" spans="1:9" ht="13.5">
      <c r="A201" s="19"/>
      <c r="B201" s="5" t="s">
        <v>15</v>
      </c>
      <c r="C201" s="6">
        <v>2006</v>
      </c>
      <c r="D201" s="20">
        <v>446.8</v>
      </c>
      <c r="E201" s="20">
        <v>298.67</v>
      </c>
      <c r="F201" s="7">
        <f t="shared" si="14"/>
        <v>148.13</v>
      </c>
      <c r="G201" s="21">
        <f t="shared" si="15"/>
        <v>0.3315353625783348</v>
      </c>
      <c r="I201" s="18"/>
    </row>
    <row r="202" spans="1:9" ht="13.5">
      <c r="A202" s="19"/>
      <c r="B202" s="5" t="s">
        <v>12</v>
      </c>
      <c r="C202" s="6">
        <v>2006</v>
      </c>
      <c r="D202" s="20">
        <v>444.95</v>
      </c>
      <c r="E202" s="20">
        <v>298.67</v>
      </c>
      <c r="F202" s="7">
        <f t="shared" si="14"/>
        <v>146.27999999999997</v>
      </c>
      <c r="G202" s="21">
        <f t="shared" si="15"/>
        <v>0.3287560400044948</v>
      </c>
      <c r="I202" s="18"/>
    </row>
    <row r="203" spans="1:9" ht="13.5">
      <c r="A203" s="19"/>
      <c r="B203" s="5" t="s">
        <v>7</v>
      </c>
      <c r="C203" s="6">
        <v>2006</v>
      </c>
      <c r="D203" s="20">
        <v>445.44</v>
      </c>
      <c r="E203" s="20">
        <v>298.67</v>
      </c>
      <c r="F203" s="7">
        <f t="shared" si="14"/>
        <v>146.76999999999998</v>
      </c>
      <c r="G203" s="21">
        <f t="shared" si="15"/>
        <v>0.3294944324712643</v>
      </c>
      <c r="I203" s="18"/>
    </row>
    <row r="204" spans="1:9" ht="13.5">
      <c r="A204" s="19"/>
      <c r="B204" s="5" t="s">
        <v>11</v>
      </c>
      <c r="C204" s="6">
        <v>2006</v>
      </c>
      <c r="D204" s="20">
        <v>447.49</v>
      </c>
      <c r="E204" s="20">
        <v>298.67</v>
      </c>
      <c r="F204" s="7">
        <f t="shared" si="14"/>
        <v>148.82</v>
      </c>
      <c r="G204" s="22">
        <f t="shared" si="15"/>
        <v>0.3325660908623656</v>
      </c>
      <c r="I204" s="18"/>
    </row>
    <row r="205" spans="1:9" ht="13.5">
      <c r="A205" s="19"/>
      <c r="B205" s="5" t="s">
        <v>14</v>
      </c>
      <c r="C205" s="6">
        <v>2006</v>
      </c>
      <c r="D205" s="20">
        <v>450.83</v>
      </c>
      <c r="E205" s="20">
        <v>298.67</v>
      </c>
      <c r="F205" s="7">
        <f t="shared" si="14"/>
        <v>152.15999999999997</v>
      </c>
      <c r="G205" s="21">
        <f t="shared" si="15"/>
        <v>0.3375108133886387</v>
      </c>
      <c r="I205" s="18"/>
    </row>
    <row r="206" spans="1:9" ht="13.5">
      <c r="A206" s="19"/>
      <c r="B206" s="5" t="s">
        <v>16</v>
      </c>
      <c r="C206" s="6">
        <v>2006</v>
      </c>
      <c r="D206" s="20">
        <v>453.2</v>
      </c>
      <c r="E206" s="20">
        <v>298.67</v>
      </c>
      <c r="F206" s="7">
        <f t="shared" si="14"/>
        <v>154.52999999999997</v>
      </c>
      <c r="G206" s="21">
        <f t="shared" si="15"/>
        <v>0.3409752868490732</v>
      </c>
      <c r="I206" s="18"/>
    </row>
    <row r="207" spans="1:9" ht="13.5">
      <c r="A207" s="19"/>
      <c r="B207" s="5" t="s">
        <v>6</v>
      </c>
      <c r="C207" s="6">
        <v>2006</v>
      </c>
      <c r="D207" s="20">
        <v>453.31</v>
      </c>
      <c r="E207" s="20">
        <v>298.67</v>
      </c>
      <c r="F207" s="7">
        <f t="shared" si="14"/>
        <v>154.64</v>
      </c>
      <c r="G207" s="21">
        <f t="shared" si="15"/>
        <v>0.3411352054885178</v>
      </c>
      <c r="I207" s="18"/>
    </row>
    <row r="208" spans="1:9" ht="13.5">
      <c r="A208" s="19"/>
      <c r="B208" s="5" t="s">
        <v>17</v>
      </c>
      <c r="C208" s="6">
        <v>2006</v>
      </c>
      <c r="D208" s="20">
        <v>453.26</v>
      </c>
      <c r="E208" s="20">
        <v>298.67</v>
      </c>
      <c r="F208" s="7">
        <f t="shared" si="14"/>
        <v>154.58999999999997</v>
      </c>
      <c r="G208" s="21">
        <f t="shared" si="15"/>
        <v>0.34106252482019145</v>
      </c>
      <c r="I208" s="18"/>
    </row>
    <row r="209" spans="1:9" ht="13.5">
      <c r="A209" s="54" t="s">
        <v>39</v>
      </c>
      <c r="B209" s="55" t="s">
        <v>9</v>
      </c>
      <c r="C209" s="56">
        <v>2007</v>
      </c>
      <c r="D209" s="61">
        <v>453.97</v>
      </c>
      <c r="E209" s="61">
        <v>317.34</v>
      </c>
      <c r="F209" s="57">
        <f t="shared" si="14"/>
        <v>136.63000000000005</v>
      </c>
      <c r="G209" s="60">
        <f t="shared" si="15"/>
        <v>0.300967024252704</v>
      </c>
      <c r="I209" s="18"/>
    </row>
    <row r="210" spans="1:9" ht="13.5">
      <c r="A210" s="54"/>
      <c r="B210" s="55" t="s">
        <v>22</v>
      </c>
      <c r="C210" s="56">
        <v>2007</v>
      </c>
      <c r="D210" s="61">
        <v>453.75</v>
      </c>
      <c r="E210" s="61">
        <v>317.34</v>
      </c>
      <c r="F210" s="57">
        <f t="shared" si="14"/>
        <v>136.41000000000003</v>
      </c>
      <c r="G210" s="60">
        <f t="shared" si="15"/>
        <v>0.30062809917355376</v>
      </c>
      <c r="I210" s="18"/>
    </row>
    <row r="211" spans="1:9" ht="13.5">
      <c r="A211" s="54"/>
      <c r="B211" s="55" t="s">
        <v>10</v>
      </c>
      <c r="C211" s="56">
        <v>2007</v>
      </c>
      <c r="D211" s="61">
        <v>454.29</v>
      </c>
      <c r="E211" s="61">
        <v>317.34</v>
      </c>
      <c r="F211" s="57">
        <f t="shared" si="14"/>
        <v>136.95000000000005</v>
      </c>
      <c r="G211" s="60">
        <f t="shared" si="15"/>
        <v>0.3014594201941492</v>
      </c>
      <c r="I211" s="18"/>
    </row>
    <row r="212" spans="1:9" ht="13.5">
      <c r="A212" s="54"/>
      <c r="B212" s="55" t="s">
        <v>21</v>
      </c>
      <c r="C212" s="56">
        <v>2007</v>
      </c>
      <c r="D212" s="61">
        <v>455</v>
      </c>
      <c r="E212" s="61">
        <v>317.34</v>
      </c>
      <c r="F212" s="57">
        <f t="shared" si="14"/>
        <v>137.66000000000003</v>
      </c>
      <c r="G212" s="60">
        <f t="shared" si="15"/>
        <v>0.3025494505494506</v>
      </c>
      <c r="I212" s="18"/>
    </row>
    <row r="213" spans="1:9" ht="13.5">
      <c r="A213" s="54"/>
      <c r="B213" s="55" t="s">
        <v>15</v>
      </c>
      <c r="C213" s="56">
        <v>2007</v>
      </c>
      <c r="D213" s="61">
        <v>455.29</v>
      </c>
      <c r="E213" s="61">
        <v>317.34</v>
      </c>
      <c r="F213" s="57">
        <f t="shared" si="14"/>
        <v>137.95000000000005</v>
      </c>
      <c r="G213" s="60">
        <f t="shared" si="15"/>
        <v>0.30299369632541906</v>
      </c>
      <c r="I213" s="18"/>
    </row>
    <row r="214" spans="1:9" ht="13.5">
      <c r="A214" s="54"/>
      <c r="B214" s="55" t="s">
        <v>12</v>
      </c>
      <c r="C214" s="56">
        <v>2007</v>
      </c>
      <c r="D214" s="61">
        <v>457.79</v>
      </c>
      <c r="E214" s="61">
        <v>317.34</v>
      </c>
      <c r="F214" s="57">
        <f t="shared" si="14"/>
        <v>140.45000000000005</v>
      </c>
      <c r="G214" s="60">
        <f t="shared" si="15"/>
        <v>0.3068000611634156</v>
      </c>
      <c r="I214" s="18"/>
    </row>
    <row r="215" spans="1:9" ht="13.5">
      <c r="A215" s="54"/>
      <c r="B215" s="55" t="s">
        <v>7</v>
      </c>
      <c r="C215" s="56">
        <v>2007</v>
      </c>
      <c r="D215" s="61">
        <v>461.75</v>
      </c>
      <c r="E215" s="61">
        <v>317.34</v>
      </c>
      <c r="F215" s="57">
        <f t="shared" si="14"/>
        <v>144.41000000000003</v>
      </c>
      <c r="G215" s="60">
        <f t="shared" si="15"/>
        <v>0.3127449918787223</v>
      </c>
      <c r="I215" s="18"/>
    </row>
    <row r="216" spans="1:9" ht="13.5">
      <c r="A216" s="54"/>
      <c r="B216" s="55" t="s">
        <v>11</v>
      </c>
      <c r="C216" s="56">
        <v>2007</v>
      </c>
      <c r="D216" s="61">
        <v>463</v>
      </c>
      <c r="E216" s="61">
        <v>317.34</v>
      </c>
      <c r="F216" s="57">
        <f t="shared" si="14"/>
        <v>145.66000000000003</v>
      </c>
      <c r="G216" s="60">
        <f t="shared" si="15"/>
        <v>0.3146004319654428</v>
      </c>
      <c r="I216" s="18"/>
    </row>
    <row r="217" spans="1:9" ht="13.5">
      <c r="A217" s="54"/>
      <c r="B217" s="55" t="s">
        <v>14</v>
      </c>
      <c r="C217" s="56">
        <v>2007</v>
      </c>
      <c r="D217" s="61">
        <v>464.9</v>
      </c>
      <c r="E217" s="61">
        <v>317.34</v>
      </c>
      <c r="F217" s="57">
        <f t="shared" si="14"/>
        <v>147.56</v>
      </c>
      <c r="G217" s="60">
        <f t="shared" si="15"/>
        <v>0.3174015917401592</v>
      </c>
      <c r="I217" s="18"/>
    </row>
    <row r="218" spans="1:9" ht="13.5">
      <c r="A218" s="54"/>
      <c r="B218" s="55" t="s">
        <v>16</v>
      </c>
      <c r="C218" s="56">
        <v>2007</v>
      </c>
      <c r="D218" s="61">
        <v>467.57</v>
      </c>
      <c r="E218" s="61">
        <v>317.34</v>
      </c>
      <c r="F218" s="57">
        <f t="shared" si="14"/>
        <v>150.23000000000002</v>
      </c>
      <c r="G218" s="60">
        <f t="shared" si="15"/>
        <v>0.32129948456915547</v>
      </c>
      <c r="I218" s="18"/>
    </row>
    <row r="219" spans="1:9" ht="13.5">
      <c r="A219" s="54"/>
      <c r="B219" s="55" t="s">
        <v>6</v>
      </c>
      <c r="C219" s="56">
        <v>2007</v>
      </c>
      <c r="D219" s="61">
        <v>469.57</v>
      </c>
      <c r="E219" s="61">
        <v>317.34</v>
      </c>
      <c r="F219" s="57">
        <f t="shared" si="14"/>
        <v>152.23000000000002</v>
      </c>
      <c r="G219" s="60">
        <f t="shared" si="15"/>
        <v>0.32419021658112745</v>
      </c>
      <c r="I219" s="18"/>
    </row>
    <row r="220" spans="1:9" ht="13.5">
      <c r="A220" s="54"/>
      <c r="B220" s="55" t="s">
        <v>17</v>
      </c>
      <c r="C220" s="56">
        <v>2007</v>
      </c>
      <c r="D220" s="61">
        <v>472.74</v>
      </c>
      <c r="E220" s="61">
        <v>317.34</v>
      </c>
      <c r="F220" s="57">
        <f t="shared" si="14"/>
        <v>155.40000000000003</v>
      </c>
      <c r="G220" s="60">
        <f t="shared" si="15"/>
        <v>0.3287219190252571</v>
      </c>
      <c r="I220" s="18"/>
    </row>
    <row r="221" spans="1:9" ht="13.5">
      <c r="A221" s="54"/>
      <c r="B221" s="55" t="s">
        <v>9</v>
      </c>
      <c r="C221" s="56">
        <v>2008</v>
      </c>
      <c r="D221" s="61">
        <v>478.82</v>
      </c>
      <c r="E221" s="61">
        <v>373.34</v>
      </c>
      <c r="F221" s="57">
        <f t="shared" si="14"/>
        <v>105.48000000000002</v>
      </c>
      <c r="G221" s="60">
        <f t="shared" si="15"/>
        <v>0.2202915500605656</v>
      </c>
      <c r="I221" s="18"/>
    </row>
    <row r="222" spans="1:9" ht="13.5">
      <c r="A222" s="54"/>
      <c r="B222" s="55" t="s">
        <v>22</v>
      </c>
      <c r="C222" s="56">
        <v>2008</v>
      </c>
      <c r="D222" s="61">
        <v>483.1</v>
      </c>
      <c r="E222" s="61">
        <v>373.34</v>
      </c>
      <c r="F222" s="57">
        <f t="shared" si="14"/>
        <v>109.76000000000005</v>
      </c>
      <c r="G222" s="60">
        <f t="shared" si="15"/>
        <v>0.2271993376112607</v>
      </c>
      <c r="I222" s="18"/>
    </row>
    <row r="223" spans="1:9" ht="13.5">
      <c r="A223" s="54"/>
      <c r="B223" s="55" t="s">
        <v>10</v>
      </c>
      <c r="C223" s="56">
        <v>2008</v>
      </c>
      <c r="D223" s="61">
        <v>488.83</v>
      </c>
      <c r="E223" s="61">
        <v>373.34</v>
      </c>
      <c r="F223" s="57">
        <f t="shared" si="14"/>
        <v>115.49000000000001</v>
      </c>
      <c r="G223" s="60">
        <f t="shared" si="15"/>
        <v>0.2362580038050038</v>
      </c>
      <c r="I223" s="18"/>
    </row>
    <row r="224" spans="1:9" ht="13.5">
      <c r="A224" s="54"/>
      <c r="B224" s="55" t="s">
        <v>21</v>
      </c>
      <c r="C224" s="56">
        <v>2008</v>
      </c>
      <c r="D224" s="61">
        <v>495.82</v>
      </c>
      <c r="E224" s="61">
        <v>373.34</v>
      </c>
      <c r="F224" s="57">
        <f t="shared" si="14"/>
        <v>122.48000000000002</v>
      </c>
      <c r="G224" s="60">
        <f t="shared" si="15"/>
        <v>0.2470251300875318</v>
      </c>
      <c r="I224" s="18"/>
    </row>
    <row r="225" spans="1:9" ht="13.5">
      <c r="A225" s="54"/>
      <c r="B225" s="55" t="s">
        <v>15</v>
      </c>
      <c r="C225" s="56">
        <v>2008</v>
      </c>
      <c r="D225" s="61">
        <v>503.05</v>
      </c>
      <c r="E225" s="61">
        <v>373.34</v>
      </c>
      <c r="F225" s="57">
        <f t="shared" si="14"/>
        <v>129.71000000000004</v>
      </c>
      <c r="G225" s="60">
        <f t="shared" si="15"/>
        <v>0.2578471324918001</v>
      </c>
      <c r="I225" s="18"/>
    </row>
    <row r="226" spans="1:9" ht="13.5">
      <c r="A226" s="54"/>
      <c r="B226" s="55" t="s">
        <v>12</v>
      </c>
      <c r="C226" s="56">
        <v>2008</v>
      </c>
      <c r="D226" s="61">
        <v>506.84</v>
      </c>
      <c r="E226" s="61">
        <v>373.34</v>
      </c>
      <c r="F226" s="57">
        <f t="shared" si="14"/>
        <v>133.5</v>
      </c>
      <c r="G226" s="60">
        <f t="shared" si="15"/>
        <v>0.26339673269670905</v>
      </c>
      <c r="I226" s="18"/>
    </row>
    <row r="227" spans="1:9" ht="13.5">
      <c r="A227" s="54"/>
      <c r="B227" s="55" t="s">
        <v>7</v>
      </c>
      <c r="C227" s="56">
        <v>2008</v>
      </c>
      <c r="D227" s="61">
        <v>507.48</v>
      </c>
      <c r="E227" s="61">
        <v>373.34</v>
      </c>
      <c r="F227" s="57">
        <f t="shared" si="14"/>
        <v>134.14000000000004</v>
      </c>
      <c r="G227" s="60">
        <f t="shared" si="15"/>
        <v>0.26432568771183107</v>
      </c>
      <c r="I227" s="18"/>
    </row>
    <row r="228" spans="1:9" ht="13.5">
      <c r="A228" s="54"/>
      <c r="B228" s="55" t="s">
        <v>11</v>
      </c>
      <c r="C228" s="56">
        <v>2008</v>
      </c>
      <c r="D228" s="61">
        <v>507.84</v>
      </c>
      <c r="E228" s="61">
        <v>373.34</v>
      </c>
      <c r="F228" s="57">
        <f t="shared" si="14"/>
        <v>134.5</v>
      </c>
      <c r="G228" s="62">
        <f t="shared" si="15"/>
        <v>0.2648471959672338</v>
      </c>
      <c r="I228" s="18"/>
    </row>
    <row r="229" spans="1:9" ht="13.5">
      <c r="A229" s="54"/>
      <c r="B229" s="55" t="s">
        <v>14</v>
      </c>
      <c r="C229" s="56">
        <v>2008</v>
      </c>
      <c r="D229" s="61">
        <v>509.35</v>
      </c>
      <c r="E229" s="61">
        <v>373.34</v>
      </c>
      <c r="F229" s="57">
        <f t="shared" si="14"/>
        <v>136.01000000000005</v>
      </c>
      <c r="G229" s="62">
        <f t="shared" si="15"/>
        <v>0.2670266025326397</v>
      </c>
      <c r="I229" s="18"/>
    </row>
    <row r="230" spans="1:9" ht="13.5">
      <c r="A230" s="54"/>
      <c r="B230" s="55" t="s">
        <v>16</v>
      </c>
      <c r="C230" s="56">
        <v>2008</v>
      </c>
      <c r="D230" s="61">
        <v>507.32</v>
      </c>
      <c r="E230" s="61">
        <v>373.34</v>
      </c>
      <c r="F230" s="57">
        <f t="shared" si="14"/>
        <v>133.98000000000002</v>
      </c>
      <c r="G230" s="62">
        <f t="shared" si="15"/>
        <v>0.264093668690373</v>
      </c>
      <c r="I230" s="18"/>
    </row>
    <row r="231" spans="1:9" ht="13.5">
      <c r="A231" s="54"/>
      <c r="B231" s="55" t="s">
        <v>6</v>
      </c>
      <c r="C231" s="56">
        <v>2008</v>
      </c>
      <c r="D231" s="61">
        <v>506.79</v>
      </c>
      <c r="E231" s="61">
        <v>373.34</v>
      </c>
      <c r="F231" s="57">
        <f t="shared" si="14"/>
        <v>133.45000000000005</v>
      </c>
      <c r="G231" s="62">
        <f t="shared" si="15"/>
        <v>0.263324059275045</v>
      </c>
      <c r="I231" s="18"/>
    </row>
    <row r="232" spans="1:9" ht="13.5">
      <c r="A232" s="54"/>
      <c r="B232" s="55" t="s">
        <v>17</v>
      </c>
      <c r="C232" s="56">
        <v>2008</v>
      </c>
      <c r="D232" s="61">
        <v>508.94</v>
      </c>
      <c r="E232" s="61">
        <v>373.34</v>
      </c>
      <c r="F232" s="57">
        <f t="shared" si="14"/>
        <v>135.60000000000002</v>
      </c>
      <c r="G232" s="62">
        <f t="shared" si="15"/>
        <v>0.2664361221362047</v>
      </c>
      <c r="I232" s="18"/>
    </row>
    <row r="233" spans="1:9" ht="13.5">
      <c r="A233" s="54"/>
      <c r="B233" s="55" t="s">
        <v>9</v>
      </c>
      <c r="C233" s="56">
        <v>2009</v>
      </c>
      <c r="D233" s="61">
        <v>512.03</v>
      </c>
      <c r="E233" s="61">
        <v>406.93</v>
      </c>
      <c r="F233" s="57">
        <f t="shared" si="14"/>
        <v>105.09999999999997</v>
      </c>
      <c r="G233" s="62">
        <f t="shared" si="15"/>
        <v>0.20526141046423055</v>
      </c>
      <c r="I233" s="18"/>
    </row>
    <row r="234" spans="1:9" ht="13.5">
      <c r="A234" s="54"/>
      <c r="B234" s="55" t="s">
        <v>22</v>
      </c>
      <c r="C234" s="56">
        <v>2009</v>
      </c>
      <c r="D234" s="61">
        <v>513.27</v>
      </c>
      <c r="E234" s="61">
        <v>406.93</v>
      </c>
      <c r="F234" s="57">
        <f t="shared" si="14"/>
        <v>106.33999999999997</v>
      </c>
      <c r="G234" s="62">
        <f t="shared" si="15"/>
        <v>0.2071814054980809</v>
      </c>
      <c r="I234" s="18"/>
    </row>
    <row r="235" spans="1:9" ht="13.5">
      <c r="A235" s="54"/>
      <c r="B235" s="55" t="s">
        <v>10</v>
      </c>
      <c r="C235" s="56">
        <v>2009</v>
      </c>
      <c r="D235" s="61">
        <v>519.9</v>
      </c>
      <c r="E235" s="61">
        <v>406.93</v>
      </c>
      <c r="F235" s="57">
        <f t="shared" si="14"/>
        <v>112.96999999999997</v>
      </c>
      <c r="G235" s="62">
        <f t="shared" si="15"/>
        <v>0.21729178688209266</v>
      </c>
      <c r="I235" s="18"/>
    </row>
    <row r="236" spans="1:9" ht="13.5">
      <c r="A236" s="54"/>
      <c r="B236" s="55" t="s">
        <v>21</v>
      </c>
      <c r="C236" s="56">
        <v>2009</v>
      </c>
      <c r="D236" s="61">
        <v>522.76</v>
      </c>
      <c r="E236" s="61">
        <v>406.93</v>
      </c>
      <c r="F236" s="57">
        <f>+D236-E236</f>
        <v>115.82999999999998</v>
      </c>
      <c r="G236" s="62">
        <f>+F236/D236</f>
        <v>0.22157395363072918</v>
      </c>
      <c r="I236" s="18"/>
    </row>
    <row r="237" spans="1:9" ht="13.5">
      <c r="A237" s="54"/>
      <c r="B237" s="55" t="s">
        <v>15</v>
      </c>
      <c r="C237" s="56">
        <v>2009</v>
      </c>
      <c r="D237" s="61">
        <v>522.75</v>
      </c>
      <c r="E237" s="61">
        <v>406.93</v>
      </c>
      <c r="F237" s="57">
        <f>+D237-E237</f>
        <v>115.82</v>
      </c>
      <c r="G237" s="62">
        <f>+F237/D237</f>
        <v>0.22155906264945002</v>
      </c>
      <c r="I237" s="18"/>
    </row>
    <row r="238" spans="1:9" ht="13.5">
      <c r="A238" s="54"/>
      <c r="B238" s="55" t="s">
        <v>12</v>
      </c>
      <c r="C238" s="56">
        <v>2009</v>
      </c>
      <c r="D238" s="61">
        <v>522.38</v>
      </c>
      <c r="E238" s="61">
        <v>406.93</v>
      </c>
      <c r="F238" s="57">
        <f>+D238-E238</f>
        <v>115.44999999999999</v>
      </c>
      <c r="G238" s="62">
        <f>+F238/D238</f>
        <v>0.2210076955473027</v>
      </c>
      <c r="I238" s="18"/>
    </row>
    <row r="239" spans="1:9" ht="13.5">
      <c r="A239" s="54"/>
      <c r="B239" s="55" t="s">
        <v>7</v>
      </c>
      <c r="C239" s="56">
        <v>2009</v>
      </c>
      <c r="D239" s="61">
        <v>521.73</v>
      </c>
      <c r="E239" s="61">
        <v>406.93</v>
      </c>
      <c r="F239" s="57">
        <f>+D239-E239</f>
        <v>114.80000000000001</v>
      </c>
      <c r="G239" s="62">
        <f>+F239/D239</f>
        <v>0.22003718398405306</v>
      </c>
      <c r="I239" s="18"/>
    </row>
    <row r="240" spans="1:9" ht="13.5">
      <c r="A240" s="54"/>
      <c r="B240" s="55" t="s">
        <v>11</v>
      </c>
      <c r="C240" s="56">
        <v>2009</v>
      </c>
      <c r="D240" s="61">
        <v>519.3</v>
      </c>
      <c r="E240" s="61">
        <v>406.93</v>
      </c>
      <c r="F240" s="57">
        <f>+D240-E240</f>
        <v>112.36999999999995</v>
      </c>
      <c r="G240" s="62">
        <f>+F240/D240</f>
        <v>0.2163874446370113</v>
      </c>
      <c r="I240" s="18"/>
    </row>
    <row r="241" spans="1:9" ht="13.5">
      <c r="A241" s="54"/>
      <c r="B241" s="55" t="s">
        <v>14</v>
      </c>
      <c r="C241" s="56">
        <v>2009</v>
      </c>
      <c r="D241" s="61">
        <v>521.26</v>
      </c>
      <c r="E241" s="61">
        <v>406.93</v>
      </c>
      <c r="F241" s="57">
        <f aca="true" t="shared" si="16" ref="F241:F248">+D241-E241</f>
        <v>114.32999999999998</v>
      </c>
      <c r="G241" s="62">
        <f aca="true" t="shared" si="17" ref="G241:G248">+F241/D241</f>
        <v>0.21933392165138316</v>
      </c>
      <c r="I241" s="18"/>
    </row>
    <row r="242" spans="1:9" ht="13.5">
      <c r="A242" s="54"/>
      <c r="B242" s="55" t="s">
        <v>16</v>
      </c>
      <c r="C242" s="56">
        <v>2009</v>
      </c>
      <c r="D242" s="61">
        <v>522.34</v>
      </c>
      <c r="E242" s="61">
        <v>406.93</v>
      </c>
      <c r="F242" s="57">
        <f t="shared" si="16"/>
        <v>115.41000000000003</v>
      </c>
      <c r="G242" s="62">
        <f t="shared" si="17"/>
        <v>0.22094804150553282</v>
      </c>
      <c r="I242" s="18"/>
    </row>
    <row r="243" spans="1:9" ht="13.5">
      <c r="A243" s="54"/>
      <c r="B243" s="55" t="s">
        <v>6</v>
      </c>
      <c r="C243" s="56">
        <v>2009</v>
      </c>
      <c r="D243" s="61">
        <v>522.59</v>
      </c>
      <c r="E243" s="61">
        <v>406.93</v>
      </c>
      <c r="F243" s="57">
        <f t="shared" si="16"/>
        <v>115.66000000000003</v>
      </c>
      <c r="G243" s="62">
        <f t="shared" si="17"/>
        <v>0.2213207294437322</v>
      </c>
      <c r="I243" s="18"/>
    </row>
    <row r="244" spans="1:9" ht="13.5">
      <c r="A244" s="54"/>
      <c r="B244" s="55" t="s">
        <v>17</v>
      </c>
      <c r="C244" s="56">
        <v>2009</v>
      </c>
      <c r="D244" s="61">
        <v>528.9</v>
      </c>
      <c r="E244" s="61">
        <v>406.93</v>
      </c>
      <c r="F244" s="57">
        <f t="shared" si="16"/>
        <v>121.96999999999997</v>
      </c>
      <c r="G244" s="62">
        <f t="shared" si="17"/>
        <v>0.23061070145585172</v>
      </c>
      <c r="I244" s="18"/>
    </row>
    <row r="245" spans="1:9" ht="13.5">
      <c r="A245" s="54"/>
      <c r="B245" s="55" t="s">
        <v>9</v>
      </c>
      <c r="C245" s="56">
        <v>2010</v>
      </c>
      <c r="D245" s="61">
        <v>534.33</v>
      </c>
      <c r="E245" s="61">
        <v>448</v>
      </c>
      <c r="F245" s="57">
        <f t="shared" si="16"/>
        <v>86.33000000000004</v>
      </c>
      <c r="G245" s="62">
        <f t="shared" si="17"/>
        <v>0.16156682200138497</v>
      </c>
      <c r="I245" s="18"/>
    </row>
    <row r="246" spans="1:9" ht="13.5">
      <c r="A246" s="54"/>
      <c r="B246" s="55" t="s">
        <v>22</v>
      </c>
      <c r="C246" s="56">
        <v>2010</v>
      </c>
      <c r="D246" s="61">
        <v>535.48</v>
      </c>
      <c r="E246" s="61">
        <v>448</v>
      </c>
      <c r="F246" s="57">
        <f t="shared" si="16"/>
        <v>87.48000000000002</v>
      </c>
      <c r="G246" s="62">
        <f t="shared" si="17"/>
        <v>0.16336744602973036</v>
      </c>
      <c r="I246" s="18"/>
    </row>
    <row r="247" spans="1:9" ht="13.5">
      <c r="A247" s="54"/>
      <c r="B247" s="55" t="s">
        <v>10</v>
      </c>
      <c r="C247" s="56">
        <v>2010</v>
      </c>
      <c r="D247" s="61">
        <v>535.56</v>
      </c>
      <c r="E247" s="61">
        <v>448</v>
      </c>
      <c r="F247" s="57">
        <f t="shared" si="16"/>
        <v>87.55999999999995</v>
      </c>
      <c r="G247" s="62">
        <f t="shared" si="17"/>
        <v>0.16349241915004847</v>
      </c>
      <c r="I247" s="18"/>
    </row>
    <row r="248" spans="1:9" ht="13.5">
      <c r="A248" s="54"/>
      <c r="B248" s="55" t="s">
        <v>21</v>
      </c>
      <c r="C248" s="56">
        <v>2010</v>
      </c>
      <c r="D248" s="61">
        <v>539.67</v>
      </c>
      <c r="E248" s="61">
        <v>448</v>
      </c>
      <c r="F248" s="57">
        <f t="shared" si="16"/>
        <v>91.66999999999996</v>
      </c>
      <c r="G248" s="62">
        <f t="shared" si="17"/>
        <v>0.16986306446532135</v>
      </c>
      <c r="I248" s="18"/>
    </row>
    <row r="249" spans="1:9" ht="13.5">
      <c r="A249" s="54"/>
      <c r="B249" s="55" t="s">
        <v>15</v>
      </c>
      <c r="C249" s="56">
        <v>2010</v>
      </c>
      <c r="D249" s="61">
        <v>538.89</v>
      </c>
      <c r="E249" s="61">
        <v>448</v>
      </c>
      <c r="F249" s="57">
        <f>+D249-E249</f>
        <v>90.88999999999999</v>
      </c>
      <c r="G249" s="62">
        <f>+F249/D249</f>
        <v>0.16866150791441664</v>
      </c>
      <c r="I249" s="18"/>
    </row>
    <row r="250" spans="1:9" ht="13.5">
      <c r="A250" s="54"/>
      <c r="B250" s="55" t="s">
        <v>12</v>
      </c>
      <c r="C250" s="56">
        <v>2010</v>
      </c>
      <c r="D250" s="61">
        <v>538.12</v>
      </c>
      <c r="E250" s="61">
        <v>448</v>
      </c>
      <c r="F250" s="57">
        <f>+D250-E250</f>
        <v>90.12</v>
      </c>
      <c r="G250" s="62">
        <f>+F250/D250</f>
        <v>0.16747193934438415</v>
      </c>
      <c r="I250" s="18"/>
    </row>
    <row r="251" spans="1:9" ht="13.5">
      <c r="A251" s="54"/>
      <c r="B251" s="55" t="s">
        <v>7</v>
      </c>
      <c r="C251" s="56">
        <v>2010</v>
      </c>
      <c r="D251" s="61">
        <v>536.93</v>
      </c>
      <c r="E251" s="61">
        <v>448</v>
      </c>
      <c r="F251" s="57">
        <f>+D251-E251</f>
        <v>88.92999999999995</v>
      </c>
      <c r="G251" s="62">
        <f>+F251/D251</f>
        <v>0.16562680423891374</v>
      </c>
      <c r="I251" s="18"/>
    </row>
    <row r="252" spans="1:9" ht="13.5">
      <c r="A252" s="54"/>
      <c r="B252" s="55" t="s">
        <v>11</v>
      </c>
      <c r="C252" s="56">
        <v>2010</v>
      </c>
      <c r="D252" s="61">
        <v>538.73</v>
      </c>
      <c r="E252" s="61">
        <v>448</v>
      </c>
      <c r="F252" s="57">
        <f>+D252-E252</f>
        <v>90.73000000000002</v>
      </c>
      <c r="G252" s="62">
        <f>+F252/D252</f>
        <v>0.16841460471850467</v>
      </c>
      <c r="I252" s="18"/>
    </row>
    <row r="253" spans="1:9" ht="13.5">
      <c r="A253" s="54"/>
      <c r="B253" s="55" t="s">
        <v>14</v>
      </c>
      <c r="C253" s="56">
        <v>2010</v>
      </c>
      <c r="D253" s="61">
        <v>539.36</v>
      </c>
      <c r="E253" s="61">
        <v>448</v>
      </c>
      <c r="F253" s="57">
        <f>+D253-E253</f>
        <v>91.36000000000001</v>
      </c>
      <c r="G253" s="62">
        <f>+F253/D253</f>
        <v>0.16938593889053696</v>
      </c>
      <c r="I253" s="18"/>
    </row>
    <row r="254" spans="1:9" ht="13.5">
      <c r="A254" s="54"/>
      <c r="B254" s="55" t="s">
        <v>16</v>
      </c>
      <c r="C254" s="56">
        <v>2010</v>
      </c>
      <c r="D254" s="61">
        <v>540.1</v>
      </c>
      <c r="E254" s="61">
        <v>448</v>
      </c>
      <c r="F254" s="57">
        <f aca="true" t="shared" si="18" ref="F254:F282">+D254-E254</f>
        <v>92.10000000000002</v>
      </c>
      <c r="G254" s="62">
        <f aca="true" t="shared" si="19" ref="G254:G272">+F254/D254</f>
        <v>0.1705239770412887</v>
      </c>
      <c r="I254" s="18"/>
    </row>
    <row r="255" spans="1:9" ht="13.5">
      <c r="A255" s="54"/>
      <c r="B255" s="55" t="s">
        <v>6</v>
      </c>
      <c r="C255" s="56">
        <v>2010</v>
      </c>
      <c r="D255" s="61">
        <v>541.82</v>
      </c>
      <c r="E255" s="61">
        <v>448</v>
      </c>
      <c r="F255" s="57">
        <f t="shared" si="18"/>
        <v>93.82000000000005</v>
      </c>
      <c r="G255" s="62">
        <f t="shared" si="19"/>
        <v>0.17315713705658714</v>
      </c>
      <c r="I255" s="18"/>
    </row>
    <row r="256" spans="1:9" ht="13.5">
      <c r="A256" s="54"/>
      <c r="B256" s="55" t="s">
        <v>17</v>
      </c>
      <c r="C256" s="56">
        <v>2010</v>
      </c>
      <c r="D256" s="61">
        <v>544.71</v>
      </c>
      <c r="E256" s="61">
        <v>448</v>
      </c>
      <c r="F256" s="57">
        <f t="shared" si="18"/>
        <v>96.71000000000004</v>
      </c>
      <c r="G256" s="62">
        <f t="shared" si="19"/>
        <v>0.17754401424611266</v>
      </c>
      <c r="I256" s="18"/>
    </row>
    <row r="257" spans="1:9" ht="13.5">
      <c r="A257" s="54"/>
      <c r="B257" s="55" t="s">
        <v>9</v>
      </c>
      <c r="C257" s="56">
        <v>2011</v>
      </c>
      <c r="D257" s="61">
        <v>548.63</v>
      </c>
      <c r="E257" s="61">
        <v>492.8</v>
      </c>
      <c r="F257" s="57">
        <f t="shared" si="18"/>
        <v>55.829999999999984</v>
      </c>
      <c r="G257" s="62">
        <f t="shared" si="19"/>
        <v>0.10176257222536132</v>
      </c>
      <c r="I257" s="18"/>
    </row>
    <row r="258" spans="1:9" ht="13.5">
      <c r="A258" s="54"/>
      <c r="B258" s="55" t="s">
        <v>22</v>
      </c>
      <c r="C258" s="56">
        <v>2011</v>
      </c>
      <c r="D258" s="61">
        <v>551.24</v>
      </c>
      <c r="E258" s="61">
        <v>492.8</v>
      </c>
      <c r="F258" s="57">
        <f t="shared" si="18"/>
        <v>58.44</v>
      </c>
      <c r="G258" s="62">
        <f t="shared" si="19"/>
        <v>0.10601552862636963</v>
      </c>
      <c r="I258" s="18"/>
    </row>
    <row r="259" spans="1:9" ht="13.5">
      <c r="A259" s="54"/>
      <c r="B259" s="55" t="s">
        <v>10</v>
      </c>
      <c r="C259" s="56">
        <v>2011</v>
      </c>
      <c r="D259" s="61">
        <v>551.87</v>
      </c>
      <c r="E259" s="61">
        <v>492.8</v>
      </c>
      <c r="F259" s="57">
        <f t="shared" si="18"/>
        <v>59.06999999999999</v>
      </c>
      <c r="G259" s="62">
        <f t="shared" si="19"/>
        <v>0.107036077337054</v>
      </c>
      <c r="I259" s="18"/>
    </row>
    <row r="260" spans="1:9" ht="13.5">
      <c r="A260" s="54"/>
      <c r="B260" s="55" t="s">
        <v>21</v>
      </c>
      <c r="C260" s="56">
        <v>2011</v>
      </c>
      <c r="D260" s="61">
        <v>555.27</v>
      </c>
      <c r="E260" s="61">
        <v>492.8</v>
      </c>
      <c r="F260" s="57">
        <f t="shared" si="18"/>
        <v>62.46999999999997</v>
      </c>
      <c r="G260" s="62">
        <f t="shared" si="19"/>
        <v>0.11250382696706102</v>
      </c>
      <c r="I260" s="18"/>
    </row>
    <row r="261" spans="1:9" ht="13.5">
      <c r="A261" s="54"/>
      <c r="B261" s="55" t="s">
        <v>15</v>
      </c>
      <c r="C261" s="56">
        <v>2011</v>
      </c>
      <c r="D261" s="61">
        <v>557.44</v>
      </c>
      <c r="E261" s="61">
        <v>492.8</v>
      </c>
      <c r="F261" s="57">
        <f t="shared" si="18"/>
        <v>64.64000000000004</v>
      </c>
      <c r="G261" s="62">
        <f t="shared" si="19"/>
        <v>0.11595866819747423</v>
      </c>
      <c r="I261" s="18"/>
    </row>
    <row r="262" spans="1:9" ht="13.5">
      <c r="A262" s="54"/>
      <c r="B262" s="55" t="s">
        <v>12</v>
      </c>
      <c r="C262" s="56">
        <v>2011</v>
      </c>
      <c r="D262" s="61">
        <v>556.93</v>
      </c>
      <c r="E262" s="61">
        <v>492.8</v>
      </c>
      <c r="F262" s="57">
        <f t="shared" si="18"/>
        <v>64.12999999999994</v>
      </c>
      <c r="G262" s="62">
        <f t="shared" si="19"/>
        <v>0.11514912107446168</v>
      </c>
      <c r="I262" s="18"/>
    </row>
    <row r="263" spans="1:9" ht="13.5">
      <c r="A263" s="54"/>
      <c r="B263" s="55" t="s">
        <v>7</v>
      </c>
      <c r="C263" s="56">
        <v>2011</v>
      </c>
      <c r="D263" s="61">
        <v>559.41</v>
      </c>
      <c r="E263" s="61">
        <v>492.8</v>
      </c>
      <c r="F263" s="57">
        <f t="shared" si="18"/>
        <v>66.60999999999996</v>
      </c>
      <c r="G263" s="62">
        <f t="shared" si="19"/>
        <v>0.11907187930140677</v>
      </c>
      <c r="I263" s="18"/>
    </row>
    <row r="264" spans="1:9" ht="13.5">
      <c r="A264" s="54"/>
      <c r="B264" s="55" t="s">
        <v>11</v>
      </c>
      <c r="C264" s="56">
        <v>2011</v>
      </c>
      <c r="D264" s="61">
        <v>563.75</v>
      </c>
      <c r="E264" s="61">
        <v>492.8</v>
      </c>
      <c r="F264" s="57">
        <f t="shared" si="18"/>
        <v>70.94999999999999</v>
      </c>
      <c r="G264" s="62">
        <f t="shared" si="19"/>
        <v>0.12585365853658534</v>
      </c>
      <c r="I264" s="18"/>
    </row>
    <row r="265" spans="1:9" ht="13.5">
      <c r="A265" s="54"/>
      <c r="B265" s="55" t="s">
        <v>14</v>
      </c>
      <c r="C265" s="56">
        <v>2011</v>
      </c>
      <c r="D265" s="61">
        <v>567.41</v>
      </c>
      <c r="E265" s="61">
        <v>492.8</v>
      </c>
      <c r="F265" s="57">
        <f t="shared" si="18"/>
        <v>74.60999999999996</v>
      </c>
      <c r="G265" s="62">
        <f t="shared" si="19"/>
        <v>0.13149221903033073</v>
      </c>
      <c r="I265" s="18"/>
    </row>
    <row r="266" spans="1:9" ht="13.5">
      <c r="A266" s="54"/>
      <c r="B266" s="55" t="s">
        <v>16</v>
      </c>
      <c r="C266" s="56">
        <v>2011</v>
      </c>
      <c r="D266" s="61">
        <v>571.08</v>
      </c>
      <c r="E266" s="61">
        <v>492.8</v>
      </c>
      <c r="F266" s="57">
        <f t="shared" si="18"/>
        <v>78.28000000000003</v>
      </c>
      <c r="G266" s="62">
        <f t="shared" si="19"/>
        <v>0.13707361490509215</v>
      </c>
      <c r="I266" s="18"/>
    </row>
    <row r="267" spans="1:9" ht="13.5">
      <c r="A267" s="54"/>
      <c r="B267" s="55" t="s">
        <v>6</v>
      </c>
      <c r="C267" s="56">
        <v>2011</v>
      </c>
      <c r="D267" s="61">
        <v>572.35</v>
      </c>
      <c r="E267" s="61">
        <v>492.8</v>
      </c>
      <c r="F267" s="57">
        <f>+D267-E267</f>
        <v>79.55000000000001</v>
      </c>
      <c r="G267" s="62">
        <f>+F267/D267</f>
        <v>0.13898838123525817</v>
      </c>
      <c r="I267" s="18"/>
    </row>
    <row r="268" spans="1:9" ht="13.5">
      <c r="A268" s="54"/>
      <c r="B268" s="55" t="s">
        <v>17</v>
      </c>
      <c r="C268" s="56">
        <v>2011</v>
      </c>
      <c r="D268" s="61">
        <v>578.04</v>
      </c>
      <c r="E268" s="61">
        <v>492.8</v>
      </c>
      <c r="F268" s="57">
        <f>+D268-E268</f>
        <v>85.23999999999995</v>
      </c>
      <c r="G268" s="62">
        <f>+F268/D268</f>
        <v>0.14746384333264126</v>
      </c>
      <c r="I268" s="18"/>
    </row>
    <row r="269" spans="1:9" ht="13.5">
      <c r="A269" s="54"/>
      <c r="B269" s="55" t="s">
        <v>9</v>
      </c>
      <c r="C269" s="56">
        <v>2012</v>
      </c>
      <c r="D269" s="61">
        <v>581.21</v>
      </c>
      <c r="E269" s="61">
        <v>545.07</v>
      </c>
      <c r="F269" s="57">
        <f>+D269-E269</f>
        <v>36.139999999999986</v>
      </c>
      <c r="G269" s="62">
        <f>+F269/D269</f>
        <v>0.062180623182670605</v>
      </c>
      <c r="I269" s="18"/>
    </row>
    <row r="270" spans="1:9" ht="13.5">
      <c r="A270" s="54"/>
      <c r="B270" s="55" t="s">
        <v>22</v>
      </c>
      <c r="C270" s="56">
        <v>2012</v>
      </c>
      <c r="D270" s="61">
        <v>583.27</v>
      </c>
      <c r="E270" s="61">
        <v>545.07</v>
      </c>
      <c r="F270" s="57">
        <f>+D270-E270</f>
        <v>38.19999999999993</v>
      </c>
      <c r="G270" s="62">
        <f>+F270/D270</f>
        <v>0.06549282493527857</v>
      </c>
      <c r="I270" s="18"/>
    </row>
    <row r="271" spans="1:9" ht="13.5">
      <c r="A271" s="54"/>
      <c r="B271" s="55" t="s">
        <v>10</v>
      </c>
      <c r="C271" s="56">
        <v>2012</v>
      </c>
      <c r="D271" s="61">
        <v>587.36</v>
      </c>
      <c r="E271" s="61">
        <v>545.07</v>
      </c>
      <c r="F271" s="57">
        <f>+D271-E271</f>
        <v>42.289999999999964</v>
      </c>
      <c r="G271" s="62">
        <f>+F271/D271</f>
        <v>0.07200013620266951</v>
      </c>
      <c r="I271" s="18"/>
    </row>
    <row r="272" spans="1:9" ht="13.5">
      <c r="A272" s="54"/>
      <c r="B272" s="55" t="s">
        <v>21</v>
      </c>
      <c r="C272" s="56">
        <v>2012</v>
      </c>
      <c r="D272" s="61">
        <v>588.48</v>
      </c>
      <c r="E272" s="61">
        <v>545.07</v>
      </c>
      <c r="F272" s="57">
        <f t="shared" si="18"/>
        <v>43.40999999999997</v>
      </c>
      <c r="G272" s="62">
        <f t="shared" si="19"/>
        <v>0.07376631321370304</v>
      </c>
      <c r="I272" s="18"/>
    </row>
    <row r="273" spans="1:9" ht="13.5">
      <c r="A273" s="54"/>
      <c r="B273" s="55" t="s">
        <v>15</v>
      </c>
      <c r="C273" s="56">
        <v>2012</v>
      </c>
      <c r="D273" s="61">
        <v>584.71</v>
      </c>
      <c r="E273" s="61">
        <v>545.07</v>
      </c>
      <c r="F273" s="57">
        <f t="shared" si="18"/>
        <v>39.639999999999986</v>
      </c>
      <c r="G273" s="62">
        <f>+F273/D273</f>
        <v>0.06779429118708417</v>
      </c>
      <c r="I273" s="18"/>
    </row>
    <row r="274" spans="1:9" ht="13.5">
      <c r="A274" s="54"/>
      <c r="B274" s="55" t="s">
        <v>12</v>
      </c>
      <c r="C274" s="56">
        <v>2012</v>
      </c>
      <c r="D274" s="61">
        <v>586.18</v>
      </c>
      <c r="E274" s="61">
        <v>545.07</v>
      </c>
      <c r="F274" s="57">
        <f t="shared" si="18"/>
        <v>41.1099999999999</v>
      </c>
      <c r="G274" s="62">
        <f>+F274/D274</f>
        <v>0.07013204135248542</v>
      </c>
      <c r="I274" s="18"/>
    </row>
    <row r="275" spans="1:9" ht="13.5">
      <c r="A275" s="54"/>
      <c r="B275" s="55" t="s">
        <v>7</v>
      </c>
      <c r="C275" s="56">
        <v>2012</v>
      </c>
      <c r="D275" s="61">
        <v>585.81</v>
      </c>
      <c r="E275" s="61">
        <v>545.07</v>
      </c>
      <c r="F275" s="57">
        <f t="shared" si="18"/>
        <v>40.739999999999895</v>
      </c>
      <c r="G275" s="62">
        <f>+F275/D275</f>
        <v>0.06954473293388624</v>
      </c>
      <c r="I275" s="18"/>
    </row>
    <row r="276" spans="1:9" ht="13.5">
      <c r="A276" s="54"/>
      <c r="B276" s="55" t="s">
        <v>11</v>
      </c>
      <c r="C276" s="56">
        <v>2012</v>
      </c>
      <c r="D276" s="61">
        <v>587.86</v>
      </c>
      <c r="E276" s="61">
        <v>545.07</v>
      </c>
      <c r="F276" s="57">
        <f t="shared" si="18"/>
        <v>42.789999999999964</v>
      </c>
      <c r="G276" s="62">
        <f>+F276/D276</f>
        <v>0.07278943966250462</v>
      </c>
      <c r="I276" s="18"/>
    </row>
    <row r="277" spans="1:9" ht="13.5">
      <c r="A277" s="54"/>
      <c r="B277" s="55" t="s">
        <v>14</v>
      </c>
      <c r="C277" s="56">
        <v>2012</v>
      </c>
      <c r="D277" s="61">
        <v>594.06</v>
      </c>
      <c r="E277" s="61">
        <v>545.07</v>
      </c>
      <c r="F277" s="57">
        <f t="shared" si="18"/>
        <v>48.989999999999895</v>
      </c>
      <c r="G277" s="62">
        <f>+F277/D277</f>
        <v>0.0824664175335823</v>
      </c>
      <c r="I277" s="18"/>
    </row>
    <row r="278" spans="1:9" ht="13.5">
      <c r="A278" s="54"/>
      <c r="B278" s="55" t="s">
        <v>16</v>
      </c>
      <c r="C278" s="56">
        <v>2012</v>
      </c>
      <c r="D278" s="61">
        <v>595.44</v>
      </c>
      <c r="E278" s="61">
        <v>545.07</v>
      </c>
      <c r="F278" s="57">
        <f t="shared" si="18"/>
        <v>50.370000000000005</v>
      </c>
      <c r="G278" s="62">
        <f aca="true" t="shared" si="20" ref="G278:G336">+F278/D278</f>
        <v>0.08459290608625554</v>
      </c>
      <c r="I278" s="18"/>
    </row>
    <row r="279" spans="1:9" ht="13.5">
      <c r="A279" s="54"/>
      <c r="B279" s="55" t="s">
        <v>6</v>
      </c>
      <c r="C279" s="56">
        <v>2012</v>
      </c>
      <c r="D279" s="61">
        <v>596.42</v>
      </c>
      <c r="E279" s="61">
        <v>545.07</v>
      </c>
      <c r="F279" s="57">
        <f t="shared" si="18"/>
        <v>51.34999999999991</v>
      </c>
      <c r="G279" s="62">
        <f t="shared" si="20"/>
        <v>0.08609704570604593</v>
      </c>
      <c r="I279" s="18"/>
    </row>
    <row r="280" spans="1:9" ht="13.5">
      <c r="A280" s="54"/>
      <c r="B280" s="55" t="s">
        <v>17</v>
      </c>
      <c r="C280" s="56">
        <v>2012</v>
      </c>
      <c r="D280" s="61">
        <v>595.7</v>
      </c>
      <c r="E280" s="61">
        <v>545.07</v>
      </c>
      <c r="F280" s="57">
        <f t="shared" si="18"/>
        <v>50.629999999999995</v>
      </c>
      <c r="G280" s="62">
        <f t="shared" si="20"/>
        <v>0.08499244586201106</v>
      </c>
      <c r="I280" s="18"/>
    </row>
    <row r="281" spans="1:9" ht="13.5">
      <c r="A281" s="54"/>
      <c r="B281" s="55" t="s">
        <v>9</v>
      </c>
      <c r="C281" s="56">
        <v>2013</v>
      </c>
      <c r="D281" s="61">
        <v>601.61</v>
      </c>
      <c r="E281" s="61">
        <v>593.6</v>
      </c>
      <c r="F281" s="57">
        <f t="shared" si="18"/>
        <v>8.009999999999991</v>
      </c>
      <c r="G281" s="62">
        <f t="shared" si="20"/>
        <v>0.013314273366466633</v>
      </c>
      <c r="I281" s="18"/>
    </row>
    <row r="282" spans="1:9" ht="13.5">
      <c r="A282" s="54"/>
      <c r="B282" s="55" t="s">
        <v>22</v>
      </c>
      <c r="C282" s="56">
        <v>2013</v>
      </c>
      <c r="D282" s="61">
        <v>602.07</v>
      </c>
      <c r="E282" s="61">
        <v>593.6</v>
      </c>
      <c r="F282" s="57">
        <f t="shared" si="18"/>
        <v>8.470000000000027</v>
      </c>
      <c r="G282" s="62">
        <f t="shared" si="20"/>
        <v>0.01406813161260323</v>
      </c>
      <c r="I282" s="18"/>
    </row>
    <row r="283" spans="1:9" ht="13.5">
      <c r="A283" s="54"/>
      <c r="B283" s="55" t="s">
        <v>10</v>
      </c>
      <c r="C283" s="56">
        <v>2013</v>
      </c>
      <c r="D283" s="61">
        <v>604.25</v>
      </c>
      <c r="E283" s="61">
        <v>593.6</v>
      </c>
      <c r="F283" s="57">
        <v>10.66</v>
      </c>
      <c r="G283" s="62">
        <f t="shared" si="20"/>
        <v>0.017641704592470005</v>
      </c>
      <c r="I283" s="18"/>
    </row>
    <row r="284" spans="1:9" ht="13.5">
      <c r="A284" s="54"/>
      <c r="B284" s="55" t="s">
        <v>21</v>
      </c>
      <c r="C284" s="56">
        <v>2013</v>
      </c>
      <c r="D284" s="61">
        <v>605.52</v>
      </c>
      <c r="E284" s="61">
        <v>593.6</v>
      </c>
      <c r="F284" s="57">
        <f aca="true" t="shared" si="21" ref="F284:F307">+D284-E284</f>
        <v>11.919999999999959</v>
      </c>
      <c r="G284" s="62">
        <f t="shared" si="20"/>
        <v>0.019685559519090963</v>
      </c>
      <c r="I284" s="18"/>
    </row>
    <row r="285" spans="1:9" ht="13.5">
      <c r="A285" s="54"/>
      <c r="B285" s="55" t="s">
        <v>15</v>
      </c>
      <c r="C285" s="56">
        <v>2013</v>
      </c>
      <c r="D285" s="61">
        <v>605.92</v>
      </c>
      <c r="E285" s="61">
        <v>593.6</v>
      </c>
      <c r="F285" s="57">
        <f t="shared" si="21"/>
        <v>12.319999999999936</v>
      </c>
      <c r="G285" s="62">
        <f t="shared" si="20"/>
        <v>0.020332717190388067</v>
      </c>
      <c r="I285" s="18"/>
    </row>
    <row r="286" spans="1:9" ht="13.5">
      <c r="A286" s="54"/>
      <c r="B286" s="55" t="s">
        <v>12</v>
      </c>
      <c r="C286" s="56">
        <v>2013</v>
      </c>
      <c r="D286" s="61">
        <v>606.29</v>
      </c>
      <c r="E286" s="61">
        <v>593.6</v>
      </c>
      <c r="F286" s="57">
        <f t="shared" si="21"/>
        <v>12.68999999999994</v>
      </c>
      <c r="G286" s="62">
        <f t="shared" si="20"/>
        <v>0.02093057777631157</v>
      </c>
      <c r="I286" s="18"/>
    </row>
    <row r="287" spans="1:9" ht="13.5">
      <c r="A287" s="54"/>
      <c r="B287" s="55" t="s">
        <v>7</v>
      </c>
      <c r="C287" s="56">
        <v>2013</v>
      </c>
      <c r="D287" s="61">
        <v>606.48</v>
      </c>
      <c r="E287" s="61">
        <v>593.6</v>
      </c>
      <c r="F287" s="57">
        <f t="shared" si="21"/>
        <v>12.879999999999995</v>
      </c>
      <c r="G287" s="62">
        <f t="shared" si="20"/>
        <v>0.02123730378578023</v>
      </c>
      <c r="I287" s="18"/>
    </row>
    <row r="288" spans="1:9" ht="13.5">
      <c r="A288" s="54"/>
      <c r="B288" s="55" t="s">
        <v>11</v>
      </c>
      <c r="C288" s="56">
        <v>2013</v>
      </c>
      <c r="D288" s="61">
        <v>609.57</v>
      </c>
      <c r="E288" s="61">
        <v>593.6</v>
      </c>
      <c r="F288" s="57">
        <f t="shared" si="21"/>
        <v>15.970000000000027</v>
      </c>
      <c r="G288" s="62">
        <f t="shared" si="20"/>
        <v>0.02619879587250033</v>
      </c>
      <c r="I288" s="18"/>
    </row>
    <row r="289" spans="1:9" ht="13.5">
      <c r="A289" s="54"/>
      <c r="B289" s="55" t="s">
        <v>14</v>
      </c>
      <c r="C289" s="56">
        <v>2013</v>
      </c>
      <c r="D289" s="61">
        <v>612.05</v>
      </c>
      <c r="E289" s="61">
        <v>593.6</v>
      </c>
      <c r="F289" s="57">
        <f t="shared" si="21"/>
        <v>18.449999999999932</v>
      </c>
      <c r="G289" s="62">
        <f t="shared" si="20"/>
        <v>0.030144596029736022</v>
      </c>
      <c r="I289" s="18"/>
    </row>
    <row r="290" spans="1:9" ht="13.5">
      <c r="A290" s="54"/>
      <c r="B290" s="55" t="s">
        <v>16</v>
      </c>
      <c r="C290" s="56">
        <v>2013</v>
      </c>
      <c r="D290" s="61">
        <v>614.01</v>
      </c>
      <c r="E290" s="61">
        <v>593.6</v>
      </c>
      <c r="F290" s="57">
        <f t="shared" si="21"/>
        <v>20.409999999999968</v>
      </c>
      <c r="G290" s="62">
        <f t="shared" si="20"/>
        <v>0.03324050096903954</v>
      </c>
      <c r="I290" s="18"/>
    </row>
    <row r="291" spans="1:9" ht="13.5">
      <c r="A291" s="54"/>
      <c r="B291" s="55" t="s">
        <v>6</v>
      </c>
      <c r="C291" s="56">
        <v>2013</v>
      </c>
      <c r="D291" s="61">
        <v>617.54</v>
      </c>
      <c r="E291" s="61">
        <v>593.6</v>
      </c>
      <c r="F291" s="57">
        <f t="shared" si="21"/>
        <v>23.93999999999994</v>
      </c>
      <c r="G291" s="62">
        <f t="shared" si="20"/>
        <v>0.03876671956472446</v>
      </c>
      <c r="I291" s="18"/>
    </row>
    <row r="292" spans="1:9" ht="13.5">
      <c r="A292" s="54"/>
      <c r="B292" s="55" t="s">
        <v>17</v>
      </c>
      <c r="C292" s="56">
        <v>2013</v>
      </c>
      <c r="D292" s="61">
        <v>620.86</v>
      </c>
      <c r="E292" s="61">
        <v>593.6</v>
      </c>
      <c r="F292" s="57">
        <f t="shared" si="21"/>
        <v>27.25999999999999</v>
      </c>
      <c r="G292" s="62">
        <f t="shared" si="20"/>
        <v>0.04390683890087941</v>
      </c>
      <c r="I292" s="18"/>
    </row>
    <row r="293" spans="1:9" ht="13.5">
      <c r="A293" s="54"/>
      <c r="B293" s="55" t="s">
        <v>9</v>
      </c>
      <c r="C293" s="56">
        <v>2014</v>
      </c>
      <c r="D293" s="61">
        <v>628.27</v>
      </c>
      <c r="E293" s="61">
        <v>634.67</v>
      </c>
      <c r="F293" s="57">
        <f t="shared" si="21"/>
        <v>-6.399999999999977</v>
      </c>
      <c r="G293" s="62">
        <f t="shared" si="20"/>
        <v>-0.010186703169019653</v>
      </c>
      <c r="I293" s="18"/>
    </row>
    <row r="294" spans="1:9" ht="13.5">
      <c r="A294" s="54"/>
      <c r="B294" s="55" t="s">
        <v>22</v>
      </c>
      <c r="C294" s="56">
        <v>2014</v>
      </c>
      <c r="D294" s="61">
        <v>628.22</v>
      </c>
      <c r="E294" s="61">
        <v>634.67</v>
      </c>
      <c r="F294" s="57">
        <f t="shared" si="21"/>
        <v>-6.449999999999932</v>
      </c>
      <c r="G294" s="62">
        <f t="shared" si="20"/>
        <v>-0.010267103880805978</v>
      </c>
      <c r="I294" s="18"/>
    </row>
    <row r="295" spans="1:9" ht="13.5">
      <c r="A295" s="54"/>
      <c r="B295" s="55" t="s">
        <v>10</v>
      </c>
      <c r="C295" s="56">
        <v>2014</v>
      </c>
      <c r="D295" s="61">
        <v>632.19</v>
      </c>
      <c r="E295" s="61">
        <v>634.67</v>
      </c>
      <c r="F295" s="57">
        <f t="shared" si="21"/>
        <v>-2.4799999999999045</v>
      </c>
      <c r="G295" s="62">
        <f t="shared" si="20"/>
        <v>-0.003922871288694703</v>
      </c>
      <c r="I295" s="18"/>
    </row>
    <row r="296" spans="1:9" ht="13.5">
      <c r="A296" s="54"/>
      <c r="B296" s="55" t="s">
        <v>21</v>
      </c>
      <c r="C296" s="56">
        <v>2014</v>
      </c>
      <c r="D296" s="61">
        <v>633.61</v>
      </c>
      <c r="E296" s="61">
        <v>634.67</v>
      </c>
      <c r="F296" s="57">
        <f t="shared" si="21"/>
        <v>-1.0599999999999454</v>
      </c>
      <c r="G296" s="62">
        <f t="shared" si="20"/>
        <v>-0.0016729533940435684</v>
      </c>
      <c r="I296" s="18"/>
    </row>
    <row r="297" spans="1:9" ht="13.5">
      <c r="A297" s="54"/>
      <c r="B297" s="55" t="s">
        <v>15</v>
      </c>
      <c r="C297" s="56">
        <v>2014</v>
      </c>
      <c r="D297" s="61">
        <v>634.27</v>
      </c>
      <c r="E297" s="61">
        <v>634.67</v>
      </c>
      <c r="F297" s="57">
        <f t="shared" si="21"/>
        <v>-0.39999999999997726</v>
      </c>
      <c r="G297" s="62">
        <f t="shared" si="20"/>
        <v>-0.0006306462547495188</v>
      </c>
      <c r="I297" s="18"/>
    </row>
    <row r="298" spans="1:9" ht="13.5">
      <c r="A298" s="54"/>
      <c r="B298" s="55" t="s">
        <v>12</v>
      </c>
      <c r="C298" s="56">
        <v>2014</v>
      </c>
      <c r="D298" s="61">
        <v>634.66521373211</v>
      </c>
      <c r="E298" s="61">
        <v>634.670000957254</v>
      </c>
      <c r="F298" s="57">
        <f t="shared" si="21"/>
        <v>-0.0047872251440139735</v>
      </c>
      <c r="G298" s="62">
        <f t="shared" si="20"/>
        <v>-7.542914028426087E-06</v>
      </c>
      <c r="H298" s="23"/>
      <c r="I298" s="18"/>
    </row>
    <row r="299" spans="1:11" ht="13.5">
      <c r="A299" s="54"/>
      <c r="B299" s="55" t="s">
        <v>7</v>
      </c>
      <c r="C299" s="56">
        <v>2014</v>
      </c>
      <c r="D299" s="61">
        <v>637.002762196633</v>
      </c>
      <c r="E299" s="61">
        <v>634.669533447561</v>
      </c>
      <c r="F299" s="57">
        <f t="shared" si="21"/>
        <v>2.3332287490719636</v>
      </c>
      <c r="G299" s="62">
        <f t="shared" si="20"/>
        <v>0.0036628235975399615</v>
      </c>
      <c r="H299" s="23"/>
      <c r="I299" s="18"/>
      <c r="J299" s="18"/>
      <c r="K299" s="23"/>
    </row>
    <row r="300" spans="1:9" ht="13.5">
      <c r="A300" s="54"/>
      <c r="B300" s="55" t="s">
        <v>11</v>
      </c>
      <c r="C300" s="56">
        <v>2014</v>
      </c>
      <c r="D300" s="61">
        <v>638.060007609086</v>
      </c>
      <c r="E300" s="61">
        <v>634.669321998479</v>
      </c>
      <c r="F300" s="57">
        <f t="shared" si="21"/>
        <v>3.390685610607079</v>
      </c>
      <c r="G300" s="62">
        <f t="shared" si="20"/>
        <v>0.005314054430887349</v>
      </c>
      <c r="H300" s="23"/>
      <c r="I300" s="18"/>
    </row>
    <row r="301" spans="1:9" ht="13.5">
      <c r="A301" s="54"/>
      <c r="B301" s="55" t="s">
        <v>14</v>
      </c>
      <c r="C301" s="56">
        <v>2014</v>
      </c>
      <c r="D301" s="61">
        <v>641.199933636358</v>
      </c>
      <c r="E301" s="61">
        <v>634.668694013273</v>
      </c>
      <c r="F301" s="57">
        <f t="shared" si="21"/>
        <v>6.531239623084957</v>
      </c>
      <c r="G301" s="62">
        <f t="shared" si="20"/>
        <v>0.010185964284252409</v>
      </c>
      <c r="H301" s="23"/>
      <c r="I301" s="18"/>
    </row>
    <row r="302" spans="1:9" ht="13.5">
      <c r="A302" s="54"/>
      <c r="B302" s="55" t="s">
        <v>16</v>
      </c>
      <c r="C302" s="56">
        <v>2014</v>
      </c>
      <c r="D302" s="61">
        <v>642.851899752787</v>
      </c>
      <c r="E302" s="61">
        <v>634.668694013273</v>
      </c>
      <c r="F302" s="57">
        <f t="shared" si="21"/>
        <v>8.183205739513937</v>
      </c>
      <c r="G302" s="62">
        <f t="shared" si="20"/>
        <v>0.01272953497167986</v>
      </c>
      <c r="H302" s="23"/>
      <c r="I302" s="18"/>
    </row>
    <row r="303" spans="1:9" ht="13.5">
      <c r="A303" s="54"/>
      <c r="B303" s="55" t="s">
        <v>6</v>
      </c>
      <c r="C303" s="56">
        <v>2014</v>
      </c>
      <c r="D303" s="61">
        <v>644.743784726586</v>
      </c>
      <c r="E303" s="61">
        <v>634.667985243055</v>
      </c>
      <c r="F303" s="57">
        <f t="shared" si="21"/>
        <v>10.075799483531</v>
      </c>
      <c r="G303" s="62">
        <f t="shared" si="20"/>
        <v>0.015627602347192543</v>
      </c>
      <c r="H303" s="23"/>
      <c r="I303" s="18"/>
    </row>
    <row r="304" spans="1:9" ht="13.5">
      <c r="A304" s="54"/>
      <c r="B304" s="55" t="s">
        <v>17</v>
      </c>
      <c r="C304" s="56">
        <v>2014</v>
      </c>
      <c r="D304" s="61">
        <v>646.301852332308</v>
      </c>
      <c r="E304" s="61">
        <v>634.667673629533</v>
      </c>
      <c r="F304" s="57">
        <f t="shared" si="21"/>
        <v>11.634178702774989</v>
      </c>
      <c r="G304" s="62">
        <f t="shared" si="20"/>
        <v>0.018001153270396416</v>
      </c>
      <c r="H304" s="23"/>
      <c r="I304" s="18"/>
    </row>
    <row r="305" spans="1:9" ht="13.5">
      <c r="A305" s="54"/>
      <c r="B305" s="55" t="s">
        <v>40</v>
      </c>
      <c r="C305" s="56">
        <v>2015</v>
      </c>
      <c r="D305" s="61">
        <v>653.2117728670564</v>
      </c>
      <c r="E305" s="61">
        <v>660.8015176454268</v>
      </c>
      <c r="F305" s="57">
        <f t="shared" si="21"/>
        <v>-7.589744778370346</v>
      </c>
      <c r="G305" s="62">
        <f t="shared" si="20"/>
        <v>-0.011619118169070465</v>
      </c>
      <c r="H305" s="23"/>
      <c r="I305" s="18"/>
    </row>
    <row r="306" spans="1:9" ht="13.5">
      <c r="A306" s="54"/>
      <c r="B306" s="55" t="s">
        <v>22</v>
      </c>
      <c r="C306" s="56">
        <v>2015</v>
      </c>
      <c r="D306" s="61">
        <v>654.4784269450992</v>
      </c>
      <c r="E306" s="61">
        <v>660.801264314611</v>
      </c>
      <c r="F306" s="57">
        <f t="shared" si="21"/>
        <v>-6.322837369511831</v>
      </c>
      <c r="G306" s="62">
        <f t="shared" si="20"/>
        <v>-0.009660879731399032</v>
      </c>
      <c r="H306" s="23"/>
      <c r="I306" s="18"/>
    </row>
    <row r="307" spans="1:9" ht="13.5">
      <c r="A307" s="54"/>
      <c r="B307" s="55" t="s">
        <v>10</v>
      </c>
      <c r="C307" s="56">
        <v>2015</v>
      </c>
      <c r="D307" s="61">
        <v>657.6831109060917</v>
      </c>
      <c r="E307" s="61">
        <v>660.8006233778187</v>
      </c>
      <c r="F307" s="57">
        <f t="shared" si="21"/>
        <v>-3.117512471727082</v>
      </c>
      <c r="G307" s="62">
        <f t="shared" si="20"/>
        <v>-0.0047401437258014385</v>
      </c>
      <c r="H307" s="23"/>
      <c r="I307" s="18"/>
    </row>
    <row r="308" spans="1:9" ht="13.5">
      <c r="A308" s="54"/>
      <c r="B308" s="55" t="s">
        <v>21</v>
      </c>
      <c r="C308" s="56">
        <v>2015</v>
      </c>
      <c r="D308" s="61">
        <v>660.85442398344</v>
      </c>
      <c r="E308" s="61">
        <v>660.799989115203</v>
      </c>
      <c r="F308" s="57">
        <f>+D308-E308</f>
        <v>0.05443486823708099</v>
      </c>
      <c r="G308" s="62">
        <f t="shared" si="20"/>
        <v>8.237043781739902E-05</v>
      </c>
      <c r="H308" s="23"/>
      <c r="I308" s="18"/>
    </row>
    <row r="309" spans="1:9" ht="13.5">
      <c r="A309" s="54"/>
      <c r="B309" s="55" t="s">
        <v>15</v>
      </c>
      <c r="C309" s="56">
        <v>2015</v>
      </c>
      <c r="D309" s="61">
        <v>665.091485849321</v>
      </c>
      <c r="E309" s="61">
        <v>660.79914170283</v>
      </c>
      <c r="F309" s="57">
        <f>+D309-E309</f>
        <v>4.292344146491018</v>
      </c>
      <c r="G309" s="62">
        <f t="shared" si="20"/>
        <v>0.006453764989954277</v>
      </c>
      <c r="H309" s="23"/>
      <c r="I309" s="18"/>
    </row>
    <row r="310" spans="1:9" ht="13.5">
      <c r="A310" s="54"/>
      <c r="B310" s="55" t="s">
        <v>12</v>
      </c>
      <c r="C310" s="56">
        <v>2015</v>
      </c>
      <c r="D310" s="61">
        <v>666.916228972163</v>
      </c>
      <c r="E310" s="61">
        <v>660.798776754205</v>
      </c>
      <c r="F310" s="57">
        <f>+D310-E310</f>
        <v>6.117452217957975</v>
      </c>
      <c r="G310" s="62">
        <f t="shared" si="20"/>
        <v>0.00917274457001303</v>
      </c>
      <c r="H310" s="23"/>
      <c r="I310" s="18"/>
    </row>
    <row r="311" spans="1:9" ht="13.5">
      <c r="A311" s="54"/>
      <c r="B311" s="55" t="s">
        <v>7</v>
      </c>
      <c r="C311" s="56">
        <v>2015</v>
      </c>
      <c r="D311" s="61">
        <v>668.567612739708</v>
      </c>
      <c r="E311" s="61">
        <v>660.798446477452</v>
      </c>
      <c r="F311" s="57">
        <f>+D311-E311</f>
        <v>7.769166262256022</v>
      </c>
      <c r="G311" s="62">
        <f t="shared" si="20"/>
        <v>0.011620614152125813</v>
      </c>
      <c r="H311" s="23"/>
      <c r="I311" s="18"/>
    </row>
    <row r="312" spans="1:9" ht="13.5">
      <c r="A312" s="54"/>
      <c r="B312" s="55" t="s">
        <v>11</v>
      </c>
      <c r="C312" s="56">
        <v>2015</v>
      </c>
      <c r="D312" s="61">
        <v>668.9533674203254</v>
      </c>
      <c r="E312" s="61">
        <v>660.798369326516</v>
      </c>
      <c r="F312" s="57">
        <f>+D312-E312</f>
        <v>8.154998093809468</v>
      </c>
      <c r="G312" s="62">
        <f t="shared" si="20"/>
        <v>0.012190682476504245</v>
      </c>
      <c r="H312" s="23"/>
      <c r="I312" s="18"/>
    </row>
    <row r="313" spans="1:9" ht="13.5">
      <c r="A313" s="54"/>
      <c r="B313" s="55" t="s">
        <v>14</v>
      </c>
      <c r="C313" s="56">
        <v>2015</v>
      </c>
      <c r="D313" s="61">
        <v>670.5317218399923</v>
      </c>
      <c r="E313" s="61">
        <v>660.7980536556323</v>
      </c>
      <c r="F313" s="57">
        <f aca="true" t="shared" si="22" ref="F313:F337">+D313-E313</f>
        <v>9.733668184359999</v>
      </c>
      <c r="G313" s="62">
        <f t="shared" si="20"/>
        <v>0.014516342579065521</v>
      </c>
      <c r="H313" s="23"/>
      <c r="I313" s="18"/>
    </row>
    <row r="314" spans="1:9" ht="13.5">
      <c r="A314" s="54"/>
      <c r="B314" s="55" t="s">
        <v>16</v>
      </c>
      <c r="C314" s="56">
        <v>2015</v>
      </c>
      <c r="D314" s="61">
        <v>669.8800136872111</v>
      </c>
      <c r="E314" s="61">
        <v>660.7981839972633</v>
      </c>
      <c r="F314" s="57">
        <f t="shared" si="22"/>
        <v>9.081829689947767</v>
      </c>
      <c r="G314" s="62">
        <f t="shared" si="20"/>
        <v>0.013557397600144511</v>
      </c>
      <c r="H314" s="23"/>
      <c r="I314" s="18"/>
    </row>
    <row r="315" spans="1:9" ht="13.5">
      <c r="A315" s="54"/>
      <c r="B315" s="55" t="s">
        <v>6</v>
      </c>
      <c r="C315" s="56">
        <v>2015</v>
      </c>
      <c r="D315" s="61">
        <v>669.9585266747495</v>
      </c>
      <c r="E315" s="61">
        <v>660.7981682946653</v>
      </c>
      <c r="F315" s="57">
        <f t="shared" si="22"/>
        <v>9.160358380084176</v>
      </c>
      <c r="G315" s="62">
        <f t="shared" si="20"/>
        <v>0.013673023053457358</v>
      </c>
      <c r="H315" s="23"/>
      <c r="I315" s="18"/>
    </row>
    <row r="316" spans="1:9" ht="13.5">
      <c r="A316" s="54"/>
      <c r="B316" s="55" t="s">
        <v>17</v>
      </c>
      <c r="C316" s="56">
        <v>2015</v>
      </c>
      <c r="D316" s="61">
        <v>673.2067055752098</v>
      </c>
      <c r="E316" s="61">
        <v>660.797518658885</v>
      </c>
      <c r="F316" s="57">
        <f t="shared" si="22"/>
        <v>12.409186916324757</v>
      </c>
      <c r="G316" s="62">
        <f t="shared" si="20"/>
        <v>0.01843295203918378</v>
      </c>
      <c r="H316" s="23"/>
      <c r="I316" s="18"/>
    </row>
    <row r="317" spans="1:12" ht="13.5">
      <c r="A317" s="54"/>
      <c r="B317" s="55" t="s">
        <v>9</v>
      </c>
      <c r="C317" s="56">
        <v>2016</v>
      </c>
      <c r="D317" s="61">
        <v>675.926059691645</v>
      </c>
      <c r="E317" s="61">
        <v>683.2014547880616</v>
      </c>
      <c r="F317" s="57">
        <f t="shared" si="22"/>
        <v>-7.27539509641656</v>
      </c>
      <c r="G317" s="62">
        <f t="shared" si="20"/>
        <v>-0.010763596094720135</v>
      </c>
      <c r="H317" s="24"/>
      <c r="I317" s="23"/>
      <c r="J317" s="18"/>
      <c r="K317" s="23"/>
      <c r="L317" s="25"/>
    </row>
    <row r="318" spans="1:12" ht="13.5">
      <c r="A318" s="54"/>
      <c r="B318" s="55" t="s">
        <v>22</v>
      </c>
      <c r="C318" s="56">
        <v>2016</v>
      </c>
      <c r="D318" s="61">
        <v>678.6121993562423</v>
      </c>
      <c r="E318" s="61">
        <v>683.2014547880616</v>
      </c>
      <c r="F318" s="57">
        <f t="shared" si="22"/>
        <v>-4.589255431819311</v>
      </c>
      <c r="G318" s="62">
        <f t="shared" si="20"/>
        <v>-0.0067627069424523395</v>
      </c>
      <c r="H318" s="24"/>
      <c r="I318" s="23"/>
      <c r="J318" s="18"/>
      <c r="K318" s="23"/>
      <c r="L318" s="25"/>
    </row>
    <row r="319" spans="1:12" ht="13.5">
      <c r="A319" s="54"/>
      <c r="B319" s="55" t="s">
        <v>10</v>
      </c>
      <c r="C319" s="56">
        <v>2016</v>
      </c>
      <c r="D319" s="61">
        <v>680.7025610262682</v>
      </c>
      <c r="E319" s="61">
        <v>683.2004994877941</v>
      </c>
      <c r="F319" s="61">
        <f t="shared" si="22"/>
        <v>-2.497938461525905</v>
      </c>
      <c r="G319" s="62">
        <f t="shared" si="20"/>
        <v>-0.0036696475150025326</v>
      </c>
      <c r="H319" s="24"/>
      <c r="J319" s="18"/>
      <c r="K319" s="23"/>
      <c r="L319" s="25"/>
    </row>
    <row r="320" spans="1:12" ht="13.5">
      <c r="A320" s="54"/>
      <c r="B320" s="55" t="s">
        <v>21</v>
      </c>
      <c r="C320" s="56">
        <v>2016</v>
      </c>
      <c r="D320" s="61">
        <v>683.158555834031</v>
      </c>
      <c r="E320" s="61">
        <v>683.2000082888329</v>
      </c>
      <c r="F320" s="61">
        <f t="shared" si="22"/>
        <v>-0.04145245480196991</v>
      </c>
      <c r="G320" s="62">
        <f t="shared" si="20"/>
        <v>-6.06776486190133E-05</v>
      </c>
      <c r="H320" s="24"/>
      <c r="J320" s="18"/>
      <c r="K320" s="23"/>
      <c r="L320" s="25"/>
    </row>
    <row r="321" spans="1:12" ht="13.5">
      <c r="A321" s="54"/>
      <c r="B321" s="55" t="s">
        <v>15</v>
      </c>
      <c r="C321" s="56">
        <v>2016</v>
      </c>
      <c r="D321" s="61">
        <v>686.7372546787208</v>
      </c>
      <c r="E321" s="61">
        <v>683.1992925490644</v>
      </c>
      <c r="F321" s="61">
        <f t="shared" si="22"/>
        <v>3.537962129656421</v>
      </c>
      <c r="G321" s="62">
        <f t="shared" si="20"/>
        <v>0.00515184243399115</v>
      </c>
      <c r="H321" s="24"/>
      <c r="J321" s="18"/>
      <c r="K321" s="23"/>
      <c r="L321" s="25"/>
    </row>
    <row r="322" spans="1:12" ht="13.5">
      <c r="A322" s="54"/>
      <c r="B322" s="55" t="s">
        <v>12</v>
      </c>
      <c r="C322" s="56">
        <v>2016</v>
      </c>
      <c r="D322" s="61">
        <v>688.5309021659542</v>
      </c>
      <c r="E322" s="61">
        <v>683.198933819567</v>
      </c>
      <c r="F322" s="61">
        <f t="shared" si="22"/>
        <v>5.331968346387271</v>
      </c>
      <c r="G322" s="62">
        <f t="shared" si="20"/>
        <v>0.007743978272600646</v>
      </c>
      <c r="H322" s="24"/>
      <c r="J322" s="18"/>
      <c r="K322" s="23"/>
      <c r="L322" s="25"/>
    </row>
    <row r="323" spans="1:12" ht="13.5">
      <c r="A323" s="54"/>
      <c r="B323" s="55" t="s">
        <v>7</v>
      </c>
      <c r="C323" s="56">
        <v>2016</v>
      </c>
      <c r="D323" s="61">
        <v>688.2103070559282</v>
      </c>
      <c r="E323" s="61">
        <v>683.1989979385891</v>
      </c>
      <c r="F323" s="61">
        <f t="shared" si="22"/>
        <v>5.011309117339124</v>
      </c>
      <c r="G323" s="62">
        <f t="shared" si="20"/>
        <v>0.00728165368341668</v>
      </c>
      <c r="H323" s="24"/>
      <c r="J323" s="18"/>
      <c r="K323" s="23"/>
      <c r="L323" s="25"/>
    </row>
    <row r="324" spans="1:12" ht="13.5">
      <c r="A324" s="63"/>
      <c r="B324" s="55" t="s">
        <v>11</v>
      </c>
      <c r="C324" s="56">
        <v>2016</v>
      </c>
      <c r="D324" s="61">
        <v>689.1047555619205</v>
      </c>
      <c r="E324" s="61">
        <v>683.1988190488872</v>
      </c>
      <c r="F324" s="61">
        <f t="shared" si="22"/>
        <v>5.905936513033225</v>
      </c>
      <c r="G324" s="62">
        <f t="shared" si="20"/>
        <v>0.008570448056503855</v>
      </c>
      <c r="H324" s="24"/>
      <c r="J324" s="18"/>
      <c r="K324" s="23"/>
      <c r="L324" s="25"/>
    </row>
    <row r="325" spans="1:12" ht="13.5">
      <c r="A325" s="54"/>
      <c r="B325" s="55" t="s">
        <v>14</v>
      </c>
      <c r="C325" s="56">
        <v>2016</v>
      </c>
      <c r="D325" s="61">
        <v>691.38085163386</v>
      </c>
      <c r="E325" s="61">
        <v>683.1983638296736</v>
      </c>
      <c r="F325" s="61">
        <f t="shared" si="22"/>
        <v>8.182487804186394</v>
      </c>
      <c r="G325" s="62">
        <f t="shared" si="20"/>
        <v>0.011834993382951917</v>
      </c>
      <c r="H325" s="24"/>
      <c r="J325" s="18"/>
      <c r="K325" s="23"/>
      <c r="L325" s="25"/>
    </row>
    <row r="326" spans="1:12" ht="13.5">
      <c r="A326" s="54"/>
      <c r="B326" s="55" t="s">
        <v>16</v>
      </c>
      <c r="C326" s="56">
        <v>2016</v>
      </c>
      <c r="D326" s="61">
        <v>691.8831733961351</v>
      </c>
      <c r="E326" s="61">
        <v>683.1982633653209</v>
      </c>
      <c r="F326" s="61">
        <f t="shared" si="22"/>
        <v>8.684910030814194</v>
      </c>
      <c r="G326" s="62">
        <f t="shared" si="20"/>
        <v>0.012552567203194117</v>
      </c>
      <c r="H326" s="24"/>
      <c r="J326" s="18"/>
      <c r="K326" s="23"/>
      <c r="L326" s="25"/>
    </row>
    <row r="327" spans="1:12" ht="13.5">
      <c r="A327" s="54"/>
      <c r="B327" s="55" t="s">
        <v>6</v>
      </c>
      <c r="C327" s="56">
        <v>2016</v>
      </c>
      <c r="D327" s="61">
        <v>692.559247531175</v>
      </c>
      <c r="E327" s="61">
        <v>683.1981281504942</v>
      </c>
      <c r="F327" s="61">
        <f t="shared" si="22"/>
        <v>9.361119380680748</v>
      </c>
      <c r="G327" s="62">
        <f t="shared" si="20"/>
        <v>0.013516705486283129</v>
      </c>
      <c r="H327" s="24"/>
      <c r="J327" s="18"/>
      <c r="K327" s="23"/>
      <c r="L327" s="25"/>
    </row>
    <row r="328" spans="1:12" ht="13.5">
      <c r="A328" s="54"/>
      <c r="B328" s="55" t="s">
        <v>17</v>
      </c>
      <c r="C328" s="56">
        <v>2016</v>
      </c>
      <c r="D328" s="61">
        <v>700.9637855054261</v>
      </c>
      <c r="E328" s="61">
        <v>683.2</v>
      </c>
      <c r="F328" s="61">
        <f t="shared" si="22"/>
        <v>17.763785505426085</v>
      </c>
      <c r="G328" s="62">
        <f t="shared" si="20"/>
        <v>0.025341944723460436</v>
      </c>
      <c r="H328" s="24"/>
      <c r="J328" s="18"/>
      <c r="K328" s="23"/>
      <c r="L328" s="25"/>
    </row>
    <row r="329" spans="1:12" ht="13.5">
      <c r="A329" s="54"/>
      <c r="B329" s="55" t="s">
        <v>9</v>
      </c>
      <c r="C329" s="56">
        <v>2017</v>
      </c>
      <c r="D329" s="61">
        <v>701.9348449694592</v>
      </c>
      <c r="E329" s="61">
        <v>699.9996130310059</v>
      </c>
      <c r="F329" s="61">
        <f t="shared" si="22"/>
        <v>1.9352319384532848</v>
      </c>
      <c r="G329" s="62">
        <f t="shared" si="20"/>
        <v>0.002756996539383204</v>
      </c>
      <c r="H329" s="24"/>
      <c r="J329" s="18"/>
      <c r="K329" s="23"/>
      <c r="L329" s="25"/>
    </row>
    <row r="330" spans="1:12" ht="13.5">
      <c r="A330" s="54"/>
      <c r="B330" s="55" t="s">
        <v>22</v>
      </c>
      <c r="C330" s="56">
        <v>2017</v>
      </c>
      <c r="D330" s="61">
        <v>708.5186603690332</v>
      </c>
      <c r="E330" s="61">
        <v>699.9982962679262</v>
      </c>
      <c r="F330" s="61">
        <f t="shared" si="22"/>
        <v>8.52036410110702</v>
      </c>
      <c r="G330" s="62">
        <f t="shared" si="20"/>
        <v>0.012025602962481148</v>
      </c>
      <c r="H330" s="24"/>
      <c r="J330" s="18"/>
      <c r="K330" s="23"/>
      <c r="L330" s="25"/>
    </row>
    <row r="331" spans="1:12" ht="13.5">
      <c r="A331" s="54"/>
      <c r="B331" s="55" t="s">
        <v>10</v>
      </c>
      <c r="C331" s="56">
        <v>2017</v>
      </c>
      <c r="D331" s="61">
        <v>709.2248384447065</v>
      </c>
      <c r="E331" s="61">
        <v>699.998155032311</v>
      </c>
      <c r="F331" s="61">
        <f t="shared" si="22"/>
        <v>9.22668341239546</v>
      </c>
      <c r="G331" s="62">
        <f t="shared" si="20"/>
        <v>0.013009532255848654</v>
      </c>
      <c r="H331" s="24"/>
      <c r="J331" s="18"/>
      <c r="K331" s="23"/>
      <c r="L331" s="25"/>
    </row>
    <row r="332" spans="1:12" ht="13.5">
      <c r="A332" s="54"/>
      <c r="B332" s="55" t="s">
        <v>21</v>
      </c>
      <c r="C332" s="56">
        <v>2017</v>
      </c>
      <c r="D332" s="61">
        <v>706.0396416355875</v>
      </c>
      <c r="E332" s="61">
        <v>699.9987920716727</v>
      </c>
      <c r="F332" s="61">
        <f t="shared" si="22"/>
        <v>6.040849563914776</v>
      </c>
      <c r="G332" s="62">
        <f t="shared" si="20"/>
        <v>0.00855596372736345</v>
      </c>
      <c r="H332" s="24"/>
      <c r="J332" s="18"/>
      <c r="K332" s="23"/>
      <c r="L332" s="25"/>
    </row>
    <row r="333" spans="1:12" ht="13.5">
      <c r="A333" s="54"/>
      <c r="B333" s="55" t="s">
        <v>15</v>
      </c>
      <c r="C333" s="56">
        <v>2017</v>
      </c>
      <c r="D333" s="61">
        <v>709.1773405840203</v>
      </c>
      <c r="E333" s="61">
        <v>699.9981645318828</v>
      </c>
      <c r="F333" s="61">
        <f t="shared" si="22"/>
        <v>9.17917605213745</v>
      </c>
      <c r="G333" s="62">
        <f t="shared" si="20"/>
        <v>0.012943414188301947</v>
      </c>
      <c r="H333" s="24"/>
      <c r="J333" s="18"/>
      <c r="K333" s="23"/>
      <c r="L333" s="25"/>
    </row>
    <row r="334" spans="1:12" ht="13.5">
      <c r="A334" s="26" t="s">
        <v>41</v>
      </c>
      <c r="B334" s="27" t="s">
        <v>12</v>
      </c>
      <c r="C334" s="28">
        <v>2017</v>
      </c>
      <c r="D334" s="29">
        <v>707.4655374399474</v>
      </c>
      <c r="E334" s="29">
        <v>699.9985068925123</v>
      </c>
      <c r="F334" s="29">
        <f t="shared" si="22"/>
        <v>7.467030547435115</v>
      </c>
      <c r="G334" s="30">
        <f t="shared" si="20"/>
        <v>0.010554620899917613</v>
      </c>
      <c r="H334" s="24"/>
      <c r="J334" s="18"/>
      <c r="K334" s="23"/>
      <c r="L334" s="25"/>
    </row>
    <row r="335" spans="1:12" ht="13.5">
      <c r="A335" s="31"/>
      <c r="B335" s="27" t="s">
        <v>7</v>
      </c>
      <c r="C335" s="28">
        <v>2017</v>
      </c>
      <c r="D335" s="29">
        <v>708.5131586302922</v>
      </c>
      <c r="E335" s="29">
        <v>699.9982973682743</v>
      </c>
      <c r="F335" s="29">
        <f t="shared" si="22"/>
        <v>8.514861262017916</v>
      </c>
      <c r="G335" s="30">
        <f t="shared" si="20"/>
        <v>0.012017929601306161</v>
      </c>
      <c r="H335" s="24"/>
      <c r="J335" s="18"/>
      <c r="K335" s="23"/>
      <c r="L335" s="25"/>
    </row>
    <row r="336" spans="1:12" ht="13.5">
      <c r="A336" s="31"/>
      <c r="B336" s="27" t="s">
        <v>11</v>
      </c>
      <c r="C336" s="28">
        <v>2017</v>
      </c>
      <c r="D336" s="29">
        <v>709.2532153023242</v>
      </c>
      <c r="E336" s="29">
        <v>699.99814935694</v>
      </c>
      <c r="F336" s="29">
        <f t="shared" si="22"/>
        <v>9.255065945384217</v>
      </c>
      <c r="G336" s="30">
        <f t="shared" si="20"/>
        <v>0.013049029240479623</v>
      </c>
      <c r="H336" s="24"/>
      <c r="J336" s="18"/>
      <c r="K336" s="23"/>
      <c r="L336" s="25"/>
    </row>
    <row r="337" spans="1:12" ht="13.5">
      <c r="A337" s="31"/>
      <c r="B337" s="27" t="s">
        <v>14</v>
      </c>
      <c r="C337" s="28">
        <v>2017</v>
      </c>
      <c r="D337" s="29">
        <v>708.7885105186308</v>
      </c>
      <c r="E337" s="29">
        <v>699.9982422978964</v>
      </c>
      <c r="F337" s="29">
        <f t="shared" si="22"/>
        <v>8.790268220734447</v>
      </c>
      <c r="G337" s="30">
        <f aca="true" t="shared" si="23" ref="G337:G342">+F337/D337</f>
        <v>0.012401820980848688</v>
      </c>
      <c r="H337" s="24"/>
      <c r="J337" s="18"/>
      <c r="K337" s="23"/>
      <c r="L337" s="25"/>
    </row>
    <row r="338" spans="1:12" ht="13.5">
      <c r="A338" s="31"/>
      <c r="B338" s="27" t="s">
        <v>16</v>
      </c>
      <c r="C338" s="28">
        <v>2017</v>
      </c>
      <c r="D338" s="29">
        <v>708.0116120725165</v>
      </c>
      <c r="E338" s="29">
        <v>699.9983976775853</v>
      </c>
      <c r="F338" s="29">
        <f aca="true" t="shared" si="24" ref="F338:F343">+D338-E338</f>
        <v>8.013214394931197</v>
      </c>
      <c r="G338" s="30">
        <f t="shared" si="23"/>
        <v>0.011317913800134765</v>
      </c>
      <c r="H338" s="24"/>
      <c r="J338" s="18"/>
      <c r="K338" s="23"/>
      <c r="L338" s="25"/>
    </row>
    <row r="339" spans="1:12" ht="13.5">
      <c r="A339" s="31"/>
      <c r="B339" s="27" t="s">
        <v>6</v>
      </c>
      <c r="C339" s="28">
        <v>2017</v>
      </c>
      <c r="D339" s="29">
        <v>706.3088076349738</v>
      </c>
      <c r="E339" s="29">
        <v>699.9987382384737</v>
      </c>
      <c r="F339" s="29">
        <f t="shared" si="24"/>
        <v>6.3100693965001255</v>
      </c>
      <c r="G339" s="30">
        <f t="shared" si="23"/>
        <v>0.008933867634510968</v>
      </c>
      <c r="H339" s="24"/>
      <c r="J339" s="18"/>
      <c r="K339" s="23"/>
      <c r="L339" s="25"/>
    </row>
    <row r="340" spans="1:12" ht="13.5">
      <c r="A340" s="31"/>
      <c r="B340" s="27" t="s">
        <v>17</v>
      </c>
      <c r="C340" s="28">
        <v>2017</v>
      </c>
      <c r="D340" s="29">
        <v>708.9799932936388</v>
      </c>
      <c r="E340" s="29">
        <v>699.998204001341</v>
      </c>
      <c r="F340" s="29">
        <f t="shared" si="24"/>
        <v>8.981789292297776</v>
      </c>
      <c r="G340" s="30">
        <f t="shared" si="23"/>
        <v>0.01266860754500555</v>
      </c>
      <c r="H340" s="24"/>
      <c r="J340" s="18"/>
      <c r="K340" s="23"/>
      <c r="L340" s="25"/>
    </row>
    <row r="341" spans="1:12" ht="13.5">
      <c r="A341" s="31"/>
      <c r="B341" s="27" t="s">
        <v>9</v>
      </c>
      <c r="C341" s="28">
        <v>2018</v>
      </c>
      <c r="D341" s="29">
        <v>712.0252085961631</v>
      </c>
      <c r="E341" s="29">
        <v>720.5317009582803</v>
      </c>
      <c r="F341" s="29">
        <f t="shared" si="24"/>
        <v>-8.506492362117228</v>
      </c>
      <c r="G341" s="30">
        <f t="shared" si="23"/>
        <v>-0.011946897749433232</v>
      </c>
      <c r="H341" s="24"/>
      <c r="J341" s="18"/>
      <c r="K341" s="23"/>
      <c r="L341" s="25"/>
    </row>
    <row r="342" spans="1:12" ht="13.5">
      <c r="A342" s="31"/>
      <c r="B342" s="27" t="s">
        <v>22</v>
      </c>
      <c r="C342" s="28">
        <v>2018</v>
      </c>
      <c r="D342" s="29">
        <v>710.4607772456258</v>
      </c>
      <c r="E342" s="29">
        <v>720.5320138445508</v>
      </c>
      <c r="F342" s="29">
        <f t="shared" si="24"/>
        <v>-10.071236598924997</v>
      </c>
      <c r="G342" s="30">
        <f t="shared" si="23"/>
        <v>-0.014175640544112817</v>
      </c>
      <c r="H342" s="24"/>
      <c r="J342" s="18"/>
      <c r="K342" s="23"/>
      <c r="L342" s="25"/>
    </row>
    <row r="343" spans="1:12" ht="13.5">
      <c r="A343" s="31"/>
      <c r="B343" s="27" t="s">
        <v>10</v>
      </c>
      <c r="C343" s="28">
        <v>2018</v>
      </c>
      <c r="D343" s="29">
        <v>711.1323590367446</v>
      </c>
      <c r="E343" s="29">
        <v>720.5318795281929</v>
      </c>
      <c r="F343" s="29">
        <f t="shared" si="24"/>
        <v>-9.399520491448357</v>
      </c>
      <c r="G343" s="30">
        <f aca="true" t="shared" si="25" ref="G343:G348">+F343/D343</f>
        <v>-0.013217680748180773</v>
      </c>
      <c r="H343" s="24"/>
      <c r="J343" s="18"/>
      <c r="K343" s="23"/>
      <c r="L343" s="25"/>
    </row>
    <row r="344" spans="1:12" ht="13.5">
      <c r="A344" s="31"/>
      <c r="B344" s="27" t="s">
        <v>44</v>
      </c>
      <c r="C344" s="28">
        <v>2018</v>
      </c>
      <c r="D344" s="29">
        <v>709.7354109293022</v>
      </c>
      <c r="E344" s="29">
        <v>720.532158917814</v>
      </c>
      <c r="F344" s="29">
        <f aca="true" t="shared" si="26" ref="F344:F349">+D344-E344</f>
        <v>-10.796747988511697</v>
      </c>
      <c r="G344" s="30">
        <f t="shared" si="25"/>
        <v>-0.015212356354567148</v>
      </c>
      <c r="H344" s="24"/>
      <c r="J344" s="18"/>
      <c r="K344" s="23"/>
      <c r="L344" s="25"/>
    </row>
    <row r="345" spans="1:12" ht="13.5">
      <c r="A345" s="31"/>
      <c r="B345" s="27" t="s">
        <v>15</v>
      </c>
      <c r="C345" s="28">
        <v>2018</v>
      </c>
      <c r="D345" s="29">
        <v>710.072585178841</v>
      </c>
      <c r="E345" s="29">
        <v>720.5320914829641</v>
      </c>
      <c r="F345" s="29">
        <f t="shared" si="26"/>
        <v>-10.459506304123124</v>
      </c>
      <c r="G345" s="30">
        <f t="shared" si="25"/>
        <v>-0.014730193113269908</v>
      </c>
      <c r="H345" s="24"/>
      <c r="J345" s="18"/>
      <c r="K345" s="23"/>
      <c r="L345" s="25"/>
    </row>
    <row r="346" spans="1:12" ht="13.5">
      <c r="A346" s="31"/>
      <c r="B346" s="27" t="s">
        <v>12</v>
      </c>
      <c r="C346" s="28">
        <v>2018</v>
      </c>
      <c r="D346" s="29">
        <v>708.2195651978851</v>
      </c>
      <c r="E346" s="29">
        <v>720.5324620869602</v>
      </c>
      <c r="F346" s="29">
        <f t="shared" si="26"/>
        <v>-12.312896889075091</v>
      </c>
      <c r="G346" s="30">
        <f t="shared" si="25"/>
        <v>-0.01738570564007889</v>
      </c>
      <c r="H346" s="24"/>
      <c r="J346" s="18"/>
      <c r="K346" s="23"/>
      <c r="L346" s="25"/>
    </row>
    <row r="347" spans="1:12" ht="13.5">
      <c r="A347" s="31"/>
      <c r="B347" s="27" t="s">
        <v>7</v>
      </c>
      <c r="C347" s="28">
        <v>2018</v>
      </c>
      <c r="D347" s="29">
        <v>707.5389508680215</v>
      </c>
      <c r="E347" s="29">
        <v>720.5325982098259</v>
      </c>
      <c r="F347" s="29">
        <f t="shared" si="26"/>
        <v>-12.993647341804376</v>
      </c>
      <c r="G347" s="30">
        <f t="shared" si="25"/>
        <v>-0.018364568234531167</v>
      </c>
      <c r="H347" s="24"/>
      <c r="J347" s="18"/>
      <c r="K347" s="23"/>
      <c r="L347" s="25"/>
    </row>
    <row r="348" spans="1:12" ht="13.5">
      <c r="A348" s="31"/>
      <c r="B348" s="27" t="s">
        <v>11</v>
      </c>
      <c r="C348" s="28">
        <v>2018</v>
      </c>
      <c r="D348" s="29">
        <v>710.7573858075641</v>
      </c>
      <c r="E348" s="29">
        <v>720.5319545228391</v>
      </c>
      <c r="F348" s="29">
        <f t="shared" si="26"/>
        <v>-9.774568715274995</v>
      </c>
      <c r="G348" s="30">
        <f t="shared" si="25"/>
        <v>-0.013752328024237283</v>
      </c>
      <c r="H348" s="24"/>
      <c r="J348" s="18"/>
      <c r="K348" s="23"/>
      <c r="L348" s="25"/>
    </row>
    <row r="349" spans="1:12" ht="13.5">
      <c r="A349" s="31"/>
      <c r="B349" s="27" t="s">
        <v>14</v>
      </c>
      <c r="C349" s="28">
        <v>2018</v>
      </c>
      <c r="D349" s="29">
        <v>712.6605314665553</v>
      </c>
      <c r="E349" s="29">
        <v>720.5315738937068</v>
      </c>
      <c r="F349" s="29">
        <f t="shared" si="26"/>
        <v>-7.871042427151451</v>
      </c>
      <c r="G349" s="30">
        <f aca="true" t="shared" si="27" ref="G349:G354">+F349/D349</f>
        <v>-0.011044588664050121</v>
      </c>
      <c r="H349" s="24"/>
      <c r="J349" s="18"/>
      <c r="K349" s="23"/>
      <c r="L349" s="25"/>
    </row>
    <row r="350" spans="1:12" ht="13.5">
      <c r="A350" s="31"/>
      <c r="B350" s="27" t="s">
        <v>16</v>
      </c>
      <c r="C350" s="28">
        <v>2018</v>
      </c>
      <c r="D350" s="29">
        <v>714.3097036303834</v>
      </c>
      <c r="E350" s="29">
        <v>720.5312440592738</v>
      </c>
      <c r="F350" s="29">
        <f aca="true" t="shared" si="28" ref="F350:F355">+D350-E350</f>
        <v>-6.221540428890421</v>
      </c>
      <c r="G350" s="30">
        <f t="shared" si="27"/>
        <v>-0.008709864078942614</v>
      </c>
      <c r="H350" s="24"/>
      <c r="J350" s="18"/>
      <c r="K350" s="23"/>
      <c r="L350" s="25"/>
    </row>
    <row r="351" spans="1:12" ht="13.5">
      <c r="A351" s="31"/>
      <c r="B351" s="27" t="s">
        <v>6</v>
      </c>
      <c r="C351" s="28">
        <v>2018</v>
      </c>
      <c r="D351" s="29">
        <v>714.6667411066875</v>
      </c>
      <c r="E351" s="29">
        <v>720.5311726517781</v>
      </c>
      <c r="F351" s="29">
        <f t="shared" si="28"/>
        <v>-5.864431545090611</v>
      </c>
      <c r="G351" s="30">
        <f t="shared" si="27"/>
        <v>-0.008205826866952455</v>
      </c>
      <c r="H351" s="24"/>
      <c r="J351" s="18"/>
      <c r="K351" s="23"/>
      <c r="L351" s="25"/>
    </row>
    <row r="352" spans="1:12" ht="13.5">
      <c r="A352" s="31"/>
      <c r="B352" s="27" t="s">
        <v>17</v>
      </c>
      <c r="C352" s="28">
        <v>2018</v>
      </c>
      <c r="D352" s="29">
        <v>715.1569185604536</v>
      </c>
      <c r="E352" s="29">
        <v>720.5310746162883</v>
      </c>
      <c r="F352" s="29">
        <f t="shared" si="28"/>
        <v>-5.374156055834646</v>
      </c>
      <c r="G352" s="30">
        <f t="shared" si="27"/>
        <v>-0.007514652961272245</v>
      </c>
      <c r="H352" s="24"/>
      <c r="J352" s="18"/>
      <c r="K352" s="23"/>
      <c r="L352" s="25"/>
    </row>
    <row r="353" spans="1:12" ht="13.5">
      <c r="A353" s="31"/>
      <c r="B353" s="27" t="s">
        <v>9</v>
      </c>
      <c r="C353" s="28">
        <v>2019</v>
      </c>
      <c r="D353" s="29">
        <v>719.8764800545952</v>
      </c>
      <c r="E353" s="29">
        <v>735.4731187039895</v>
      </c>
      <c r="F353" s="29">
        <f t="shared" si="28"/>
        <v>-15.596638649394322</v>
      </c>
      <c r="G353" s="30">
        <f t="shared" si="27"/>
        <v>-0.021665714996288638</v>
      </c>
      <c r="H353" s="24"/>
      <c r="J353" s="18"/>
      <c r="K353" s="23"/>
      <c r="L353" s="25"/>
    </row>
    <row r="354" spans="1:12" ht="13.5">
      <c r="A354" s="31"/>
      <c r="B354" s="27" t="s">
        <v>22</v>
      </c>
      <c r="C354" s="28">
        <v>2019</v>
      </c>
      <c r="D354" s="29">
        <v>717.7867690210317</v>
      </c>
      <c r="E354" s="29">
        <v>735.4735366461954</v>
      </c>
      <c r="F354" s="29">
        <f t="shared" si="28"/>
        <v>-17.686767625163725</v>
      </c>
      <c r="G354" s="30">
        <f t="shared" si="27"/>
        <v>-0.02464069886560627</v>
      </c>
      <c r="H354" s="24"/>
      <c r="J354" s="18"/>
      <c r="K354" s="23"/>
      <c r="L354" s="25"/>
    </row>
    <row r="355" spans="1:12" ht="13.5">
      <c r="A355" s="31"/>
      <c r="B355" s="27" t="s">
        <v>10</v>
      </c>
      <c r="C355" s="28">
        <v>2019</v>
      </c>
      <c r="D355" s="29">
        <v>713.0486137141804</v>
      </c>
      <c r="E355" s="29">
        <v>735.4744842772567</v>
      </c>
      <c r="F355" s="29">
        <f t="shared" si="28"/>
        <v>-22.425870563076273</v>
      </c>
      <c r="G355" s="30">
        <f aca="true" t="shared" si="29" ref="G355:G360">+F355/D355</f>
        <v>-0.03145068952068042</v>
      </c>
      <c r="H355" s="24"/>
      <c r="J355" s="18"/>
      <c r="K355" s="23"/>
      <c r="L355" s="25"/>
    </row>
    <row r="356" spans="1:12" ht="13.5">
      <c r="A356" s="31"/>
      <c r="B356" s="27" t="s">
        <v>21</v>
      </c>
      <c r="C356" s="28">
        <v>2019</v>
      </c>
      <c r="D356" s="29">
        <v>715.7027686558706</v>
      </c>
      <c r="E356" s="29">
        <v>735.4739534462683</v>
      </c>
      <c r="F356" s="29">
        <f aca="true" t="shared" si="30" ref="F356:F361">+D356-E356</f>
        <v>-19.771184790397683</v>
      </c>
      <c r="G356" s="30">
        <f t="shared" si="29"/>
        <v>-0.02762485441760839</v>
      </c>
      <c r="H356" s="24"/>
      <c r="J356" s="18"/>
      <c r="K356" s="23"/>
      <c r="L356" s="25"/>
    </row>
    <row r="357" spans="1:12" ht="13.5">
      <c r="A357" s="31"/>
      <c r="B357" s="27" t="s">
        <v>15</v>
      </c>
      <c r="C357" s="28">
        <v>2019</v>
      </c>
      <c r="D357" s="29">
        <v>715.6129256817637</v>
      </c>
      <c r="E357" s="29">
        <v>735.4739714148635</v>
      </c>
      <c r="F357" s="29">
        <f t="shared" si="30"/>
        <v>-19.861045733099786</v>
      </c>
      <c r="G357" s="30">
        <f t="shared" si="29"/>
        <v>-0.027753894627012485</v>
      </c>
      <c r="H357" s="24"/>
      <c r="J357" s="18"/>
      <c r="K357" s="23"/>
      <c r="L357" s="25"/>
    </row>
    <row r="358" spans="1:12" ht="13.5">
      <c r="A358" s="31"/>
      <c r="B358" s="27" t="s">
        <v>12</v>
      </c>
      <c r="C358" s="28">
        <v>2019</v>
      </c>
      <c r="D358" s="29">
        <v>715.8347981335938</v>
      </c>
      <c r="E358" s="29">
        <v>735.4739270403732</v>
      </c>
      <c r="F358" s="29">
        <f t="shared" si="30"/>
        <v>-19.63912890677932</v>
      </c>
      <c r="G358" s="30">
        <f t="shared" si="29"/>
        <v>-0.02743528109835495</v>
      </c>
      <c r="H358" s="24"/>
      <c r="J358" s="18"/>
      <c r="K358" s="23"/>
      <c r="L358" s="25"/>
    </row>
    <row r="359" spans="1:12" ht="13.5">
      <c r="A359" s="31"/>
      <c r="B359" s="27" t="s">
        <v>7</v>
      </c>
      <c r="C359" s="28">
        <v>2019</v>
      </c>
      <c r="D359" s="29">
        <v>715.7368251729639</v>
      </c>
      <c r="E359" s="29">
        <v>735.4739466349656</v>
      </c>
      <c r="F359" s="29">
        <f t="shared" si="30"/>
        <v>-19.73712146200171</v>
      </c>
      <c r="G359" s="30">
        <f t="shared" si="29"/>
        <v>-0.027575947985115992</v>
      </c>
      <c r="H359" s="24"/>
      <c r="J359" s="18"/>
      <c r="K359" s="23"/>
      <c r="L359" s="25"/>
    </row>
    <row r="360" spans="1:12" ht="13.5">
      <c r="A360" s="31"/>
      <c r="B360" s="27" t="s">
        <v>11</v>
      </c>
      <c r="C360" s="28">
        <v>2019</v>
      </c>
      <c r="D360" s="29">
        <v>714.468305347452</v>
      </c>
      <c r="E360" s="29">
        <v>735.4742003389304</v>
      </c>
      <c r="F360" s="29">
        <f t="shared" si="30"/>
        <v>-21.005894991478385</v>
      </c>
      <c r="G360" s="30">
        <f t="shared" si="29"/>
        <v>-0.02940073735148131</v>
      </c>
      <c r="H360" s="24"/>
      <c r="J360" s="18"/>
      <c r="K360" s="23"/>
      <c r="L360" s="25"/>
    </row>
    <row r="361" spans="1:12" ht="13.5">
      <c r="A361" s="31"/>
      <c r="B361" s="27" t="s">
        <v>14</v>
      </c>
      <c r="C361" s="28">
        <v>2019</v>
      </c>
      <c r="D361" s="29">
        <v>713.7470456560402</v>
      </c>
      <c r="E361" s="29">
        <v>735.4743445908695</v>
      </c>
      <c r="F361" s="29">
        <f t="shared" si="30"/>
        <v>-21.727298934829264</v>
      </c>
      <c r="G361" s="30">
        <f>+F361/D361</f>
        <v>-0.03044117529741735</v>
      </c>
      <c r="H361" s="24"/>
      <c r="J361" s="18"/>
      <c r="K361" s="23"/>
      <c r="L361" s="25"/>
    </row>
    <row r="362" spans="1:12" ht="13.5">
      <c r="A362" s="31"/>
      <c r="B362" s="27" t="s">
        <v>16</v>
      </c>
      <c r="C362" s="28">
        <v>2019</v>
      </c>
      <c r="D362" s="29">
        <v>718.1806837743843</v>
      </c>
      <c r="E362" s="29">
        <v>735.4734578632455</v>
      </c>
      <c r="F362" s="29">
        <f>+D362-E362</f>
        <v>-17.292774088861165</v>
      </c>
      <c r="G362" s="30">
        <f>+F362/D362</f>
        <v>-0.02407858423311991</v>
      </c>
      <c r="H362" s="24"/>
      <c r="J362" s="18"/>
      <c r="K362" s="23"/>
      <c r="L362" s="25"/>
    </row>
    <row r="363" spans="1:12" ht="13.5">
      <c r="A363" s="31"/>
      <c r="B363" s="27" t="s">
        <v>6</v>
      </c>
      <c r="C363" s="28">
        <v>2019</v>
      </c>
      <c r="D363" s="29">
        <v>715.104498549384</v>
      </c>
      <c r="E363" s="29">
        <v>735.47407310029</v>
      </c>
      <c r="F363" s="29">
        <f>+D363-E363</f>
        <v>-20.36957455090601</v>
      </c>
      <c r="G363" s="30">
        <f>+F363/D363</f>
        <v>-0.028484752357489637</v>
      </c>
      <c r="H363" s="24"/>
      <c r="J363" s="18"/>
      <c r="K363" s="23"/>
      <c r="L363" s="25"/>
    </row>
    <row r="364" spans="1:12" ht="14.25" thickBot="1">
      <c r="A364" s="32"/>
      <c r="B364" s="33" t="s">
        <v>17</v>
      </c>
      <c r="C364" s="34">
        <v>2019</v>
      </c>
      <c r="D364" s="35">
        <v>715.0778175681829</v>
      </c>
      <c r="E364" s="35">
        <v>735.4740784364863</v>
      </c>
      <c r="F364" s="35">
        <f>+D364-E364</f>
        <v>-20.39626086830333</v>
      </c>
      <c r="G364" s="36">
        <f>+F364/D364</f>
        <v>-0.028523134639620588</v>
      </c>
      <c r="H364" s="24"/>
      <c r="J364" s="18"/>
      <c r="K364" s="23"/>
      <c r="L364" s="25"/>
    </row>
    <row r="365" spans="1:12" ht="13.5">
      <c r="A365" s="37"/>
      <c r="B365" s="38"/>
      <c r="C365" s="39"/>
      <c r="D365" s="40"/>
      <c r="E365" s="40"/>
      <c r="F365" s="40"/>
      <c r="G365" s="41"/>
      <c r="H365" s="24"/>
      <c r="J365" s="18"/>
      <c r="K365" s="23"/>
      <c r="L365" s="25"/>
    </row>
    <row r="366" spans="1:12" ht="13.5">
      <c r="A366" s="64" t="s">
        <v>45</v>
      </c>
      <c r="B366" s="38"/>
      <c r="C366" s="39"/>
      <c r="D366" s="40"/>
      <c r="E366" s="40"/>
      <c r="F366" s="40"/>
      <c r="G366" s="41"/>
      <c r="H366" s="24"/>
      <c r="J366" s="18"/>
      <c r="K366" s="23"/>
      <c r="L366" s="25"/>
    </row>
    <row r="367" spans="1:12" ht="13.5">
      <c r="A367" s="42"/>
      <c r="B367" s="43"/>
      <c r="C367" s="44"/>
      <c r="D367" s="45"/>
      <c r="E367" s="45"/>
      <c r="F367" s="45"/>
      <c r="G367" s="46"/>
      <c r="H367" s="24"/>
      <c r="J367" s="18"/>
      <c r="K367" s="23"/>
      <c r="L367" s="25"/>
    </row>
    <row r="368" ht="13.5">
      <c r="A368" s="42"/>
    </row>
    <row r="369" ht="12.75">
      <c r="A369" s="47"/>
    </row>
    <row r="370" spans="1:7" ht="12.75">
      <c r="A370" s="48"/>
      <c r="D370" s="23"/>
      <c r="E370" s="23"/>
      <c r="F370" s="23"/>
      <c r="G370" s="24"/>
    </row>
    <row r="371" ht="17.25" customHeight="1">
      <c r="A371" s="48"/>
    </row>
    <row r="372" ht="12.75">
      <c r="A372" s="1" t="s">
        <v>46</v>
      </c>
    </row>
    <row r="374" ht="12.75">
      <c r="A374" s="65" t="s">
        <v>47</v>
      </c>
    </row>
    <row r="375" ht="12.75">
      <c r="A375" s="66" t="s">
        <v>49</v>
      </c>
    </row>
    <row r="376" ht="12.75">
      <c r="A376" s="66" t="s">
        <v>52</v>
      </c>
    </row>
    <row r="377" ht="12.75">
      <c r="A377" s="66" t="s">
        <v>48</v>
      </c>
    </row>
  </sheetData>
  <sheetProtection/>
  <mergeCells count="9">
    <mergeCell ref="A3:G3"/>
    <mergeCell ref="A4:G4"/>
    <mergeCell ref="A5:A9"/>
    <mergeCell ref="B5:B9"/>
    <mergeCell ref="C5:C9"/>
    <mergeCell ref="D5:D9"/>
    <mergeCell ref="E5:E9"/>
    <mergeCell ref="F5:F9"/>
    <mergeCell ref="G5:G9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Katherine Uyaguari</dc:creator>
  <cp:keywords/>
  <dc:description/>
  <cp:lastModifiedBy>INEC Diana Barco</cp:lastModifiedBy>
  <dcterms:created xsi:type="dcterms:W3CDTF">2015-02-04T14:45:26Z</dcterms:created>
  <dcterms:modified xsi:type="dcterms:W3CDTF">2019-12-27T16:57:09Z</dcterms:modified>
  <cp:category/>
  <cp:version/>
  <cp:contentType/>
  <cp:contentStatus/>
</cp:coreProperties>
</file>